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\\TBA\Emily\各年統計\2023統計\2023統計正本\"/>
    </mc:Choice>
  </mc:AlternateContent>
  <xr:revisionPtr revIDLastSave="0" documentId="13_ncr:1_{84A0B4EA-4FF5-4E06-8C55-D39E62FC30EC}" xr6:coauthVersionLast="47" xr6:coauthVersionMax="47" xr10:uidLastSave="{00000000-0000-0000-0000-000000000000}"/>
  <bookViews>
    <workbookView xWindow="3165" yWindow="15" windowWidth="17025" windowHeight="10620" tabRatio="774" xr2:uid="{00000000-000D-0000-FFFF-FFFF00000000}"/>
  </bookViews>
  <sheets>
    <sheet name="整車" sheetId="1" r:id="rId1"/>
    <sheet name="整車同期比較" sheetId="27" r:id="rId2"/>
    <sheet name="整車出口全球總表更新至8月(記得隱藏)" sheetId="18" state="hidden" r:id="rId3"/>
    <sheet name="整車比較" sheetId="2" r:id="rId4"/>
    <sheet name="出口地區" sheetId="28" r:id="rId5"/>
    <sheet name="整車進口" sheetId="5" r:id="rId6"/>
    <sheet name="折疊車" sheetId="9" r:id="rId7"/>
    <sheet name="折疊車比較" sheetId="10" r:id="rId8"/>
    <sheet name="電輔車" sheetId="11" r:id="rId9"/>
    <sheet name="電輔車比較" sheetId="12" r:id="rId10"/>
    <sheet name="電動折疊同期比較 " sheetId="26" r:id="rId11"/>
    <sheet name="零件" sheetId="22" r:id="rId12"/>
    <sheet name="零件出口比較" sheetId="23" r:id="rId13"/>
    <sheet name="零件進口比較" sheetId="25" r:id="rId14"/>
    <sheet name="零件出進口國別 " sheetId="31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</externalReferences>
  <definedNames>
    <definedName name="_xlnm.Print_Area" localSheetId="4">出口地區!$A$1:$J$34</definedName>
    <definedName name="_xlnm.Print_Area" localSheetId="10">'電動折疊同期比較 '!$A$1:$G$42</definedName>
    <definedName name="_xlnm.Print_Area" localSheetId="1">整車同期比較!$A$1:$G$42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5" l="1"/>
  <c r="E32" i="5"/>
  <c r="B7" i="28"/>
  <c r="B8" i="28"/>
  <c r="B9" i="28"/>
  <c r="B10" i="28"/>
  <c r="F64" i="12"/>
  <c r="F50" i="12"/>
  <c r="F51" i="12"/>
  <c r="F52" i="12"/>
  <c r="F53" i="12"/>
  <c r="F54" i="12"/>
  <c r="F55" i="12"/>
  <c r="F56" i="12"/>
  <c r="F57" i="12"/>
  <c r="F58" i="12"/>
  <c r="F61" i="12"/>
  <c r="F62" i="12"/>
  <c r="F49" i="12"/>
  <c r="F44" i="12"/>
  <c r="F43" i="12"/>
  <c r="F32" i="12"/>
  <c r="F26" i="12"/>
  <c r="F27" i="12"/>
  <c r="F28" i="12"/>
  <c r="F29" i="12"/>
  <c r="F30" i="12"/>
  <c r="F25" i="12"/>
  <c r="F15" i="12"/>
  <c r="F16" i="12"/>
  <c r="F17" i="12"/>
  <c r="F18" i="12"/>
  <c r="F19" i="12"/>
  <c r="F20" i="12"/>
  <c r="F14" i="12"/>
  <c r="F10" i="12"/>
  <c r="F11" i="12"/>
  <c r="F9" i="12"/>
  <c r="C64" i="12"/>
  <c r="C50" i="12"/>
  <c r="C51" i="12"/>
  <c r="C52" i="12"/>
  <c r="C53" i="12"/>
  <c r="C54" i="12"/>
  <c r="C55" i="12"/>
  <c r="C56" i="12"/>
  <c r="C57" i="12"/>
  <c r="C58" i="12"/>
  <c r="C61" i="12"/>
  <c r="C62" i="12"/>
  <c r="C49" i="12"/>
  <c r="C44" i="12"/>
  <c r="C43" i="12"/>
  <c r="C15" i="12"/>
  <c r="C16" i="12"/>
  <c r="C17" i="12"/>
  <c r="C18" i="12"/>
  <c r="C19" i="12"/>
  <c r="C20" i="12"/>
  <c r="C25" i="12"/>
  <c r="C26" i="12"/>
  <c r="C27" i="12"/>
  <c r="C28" i="12"/>
  <c r="C29" i="12"/>
  <c r="C30" i="12"/>
  <c r="C32" i="12"/>
  <c r="C14" i="12"/>
  <c r="C10" i="12"/>
  <c r="C11" i="12"/>
  <c r="C9" i="12"/>
  <c r="F68" i="10"/>
  <c r="F65" i="10"/>
  <c r="F57" i="10"/>
  <c r="F58" i="10"/>
  <c r="F59" i="10"/>
  <c r="F56" i="10"/>
  <c r="F54" i="10"/>
  <c r="F49" i="10"/>
  <c r="F48" i="10"/>
  <c r="F24" i="10"/>
  <c r="F14" i="10"/>
  <c r="F13" i="10"/>
  <c r="F9" i="10"/>
  <c r="F8" i="10"/>
  <c r="C41" i="10"/>
  <c r="C68" i="10"/>
  <c r="C49" i="10"/>
  <c r="C54" i="10"/>
  <c r="C56" i="10"/>
  <c r="C57" i="10"/>
  <c r="C58" i="10"/>
  <c r="C59" i="10"/>
  <c r="C65" i="10"/>
  <c r="C48" i="10"/>
  <c r="C14" i="10"/>
  <c r="C24" i="10"/>
  <c r="C13" i="10"/>
  <c r="C9" i="10"/>
  <c r="C8" i="10"/>
  <c r="F67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48" i="2"/>
  <c r="F43" i="2"/>
  <c r="F44" i="2"/>
  <c r="F42" i="2"/>
  <c r="F14" i="2"/>
  <c r="F15" i="2"/>
  <c r="F16" i="2"/>
  <c r="F17" i="2"/>
  <c r="F18" i="2"/>
  <c r="F19" i="2"/>
  <c r="F21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13" i="2"/>
  <c r="F9" i="2"/>
  <c r="F10" i="2"/>
  <c r="F8" i="2"/>
  <c r="C67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48" i="2"/>
  <c r="C43" i="2"/>
  <c r="C44" i="2"/>
  <c r="C42" i="2"/>
  <c r="C14" i="2"/>
  <c r="C15" i="2"/>
  <c r="C16" i="2"/>
  <c r="C17" i="2"/>
  <c r="C18" i="2"/>
  <c r="C19" i="2"/>
  <c r="C21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13" i="2"/>
  <c r="C9" i="2"/>
  <c r="C10" i="2"/>
  <c r="C8" i="2"/>
  <c r="L18" i="22"/>
  <c r="L15" i="22"/>
  <c r="M57" i="22"/>
  <c r="L57" i="22"/>
  <c r="M54" i="22"/>
  <c r="L54" i="22"/>
  <c r="M51" i="22"/>
  <c r="L51" i="22"/>
  <c r="M49" i="22"/>
  <c r="L49" i="22"/>
  <c r="M47" i="22"/>
  <c r="L47" i="22"/>
  <c r="M44" i="22"/>
  <c r="L44" i="22"/>
  <c r="M38" i="22"/>
  <c r="L38" i="22"/>
  <c r="M36" i="22"/>
  <c r="L36" i="22"/>
  <c r="M34" i="22"/>
  <c r="L34" i="22"/>
  <c r="M31" i="22"/>
  <c r="L31" i="22"/>
  <c r="M28" i="22"/>
  <c r="L28" i="22"/>
  <c r="M26" i="22"/>
  <c r="L26" i="22"/>
  <c r="M22" i="22"/>
  <c r="L22" i="22"/>
  <c r="M20" i="22"/>
  <c r="L20" i="22"/>
  <c r="M17" i="22"/>
  <c r="L17" i="22"/>
  <c r="M14" i="22"/>
  <c r="L14" i="22"/>
  <c r="M11" i="22"/>
  <c r="L11" i="22"/>
  <c r="I18" i="22"/>
  <c r="I15" i="22"/>
  <c r="I51" i="22"/>
  <c r="J51" i="22"/>
  <c r="I54" i="22"/>
  <c r="J54" i="22"/>
  <c r="I57" i="22"/>
  <c r="J57" i="22"/>
  <c r="J49" i="22"/>
  <c r="I49" i="22"/>
  <c r="J47" i="22"/>
  <c r="I47" i="22"/>
  <c r="J44" i="22"/>
  <c r="I44" i="22"/>
  <c r="J38" i="22"/>
  <c r="I38" i="22"/>
  <c r="J36" i="22"/>
  <c r="I36" i="22"/>
  <c r="J34" i="22"/>
  <c r="I34" i="22"/>
  <c r="J31" i="22"/>
  <c r="I31" i="22"/>
  <c r="J28" i="22"/>
  <c r="I28" i="22"/>
  <c r="J26" i="22"/>
  <c r="I26" i="22"/>
  <c r="J22" i="22"/>
  <c r="I22" i="22"/>
  <c r="J20" i="22"/>
  <c r="I20" i="22"/>
  <c r="J17" i="22"/>
  <c r="I17" i="22"/>
  <c r="J14" i="22"/>
  <c r="I14" i="22"/>
  <c r="J11" i="22"/>
  <c r="I11" i="22"/>
  <c r="F18" i="22"/>
  <c r="F15" i="22"/>
  <c r="G57" i="22"/>
  <c r="F57" i="22"/>
  <c r="G54" i="22"/>
  <c r="F54" i="22"/>
  <c r="G51" i="22"/>
  <c r="F51" i="22"/>
  <c r="G49" i="22"/>
  <c r="F49" i="22"/>
  <c r="G47" i="22"/>
  <c r="F47" i="22"/>
  <c r="G44" i="22"/>
  <c r="F44" i="22"/>
  <c r="G38" i="22"/>
  <c r="F38" i="22"/>
  <c r="G36" i="22"/>
  <c r="F36" i="22"/>
  <c r="G34" i="22"/>
  <c r="F34" i="22"/>
  <c r="G31" i="22"/>
  <c r="F31" i="22"/>
  <c r="G28" i="22"/>
  <c r="F28" i="22"/>
  <c r="G26" i="22"/>
  <c r="F26" i="22"/>
  <c r="G22" i="22"/>
  <c r="F22" i="22"/>
  <c r="G20" i="22"/>
  <c r="F20" i="22"/>
  <c r="G17" i="22"/>
  <c r="F17" i="22"/>
  <c r="G14" i="22"/>
  <c r="F14" i="22"/>
  <c r="G11" i="22"/>
  <c r="F11" i="22"/>
  <c r="C18" i="22"/>
  <c r="C15" i="22"/>
  <c r="D57" i="22"/>
  <c r="D54" i="22"/>
  <c r="D51" i="22"/>
  <c r="D49" i="22"/>
  <c r="D47" i="22"/>
  <c r="D44" i="22"/>
  <c r="D38" i="22"/>
  <c r="D36" i="22"/>
  <c r="D34" i="22"/>
  <c r="D31" i="22"/>
  <c r="D28" i="22"/>
  <c r="D26" i="22"/>
  <c r="D22" i="22"/>
  <c r="D20" i="22"/>
  <c r="D17" i="22"/>
  <c r="D14" i="22"/>
  <c r="D11" i="22"/>
  <c r="C57" i="22"/>
  <c r="C54" i="22"/>
  <c r="C51" i="22"/>
  <c r="C49" i="22"/>
  <c r="C47" i="22"/>
  <c r="C44" i="22"/>
  <c r="C38" i="22"/>
  <c r="C36" i="22"/>
  <c r="C34" i="22"/>
  <c r="C31" i="22"/>
  <c r="C28" i="22"/>
  <c r="C26" i="22"/>
  <c r="C22" i="22"/>
  <c r="C20" i="22"/>
  <c r="C17" i="22"/>
  <c r="C14" i="22"/>
  <c r="C11" i="22"/>
  <c r="G64" i="11"/>
  <c r="G50" i="11"/>
  <c r="G51" i="11"/>
  <c r="G52" i="11"/>
  <c r="G53" i="11"/>
  <c r="G54" i="11"/>
  <c r="G55" i="11"/>
  <c r="G56" i="11"/>
  <c r="G57" i="11"/>
  <c r="G58" i="11"/>
  <c r="G61" i="11"/>
  <c r="G62" i="11"/>
  <c r="G49" i="11"/>
  <c r="G44" i="11"/>
  <c r="G45" i="11"/>
  <c r="G43" i="11"/>
  <c r="G15" i="11"/>
  <c r="G16" i="11"/>
  <c r="G17" i="11"/>
  <c r="G18" i="11"/>
  <c r="G19" i="11"/>
  <c r="G20" i="11"/>
  <c r="G21" i="11"/>
  <c r="G22" i="11"/>
  <c r="G25" i="11"/>
  <c r="G26" i="11"/>
  <c r="G27" i="11"/>
  <c r="G28" i="11"/>
  <c r="G29" i="11"/>
  <c r="G30" i="11"/>
  <c r="G14" i="11"/>
  <c r="G10" i="11"/>
  <c r="G11" i="11"/>
  <c r="G9" i="11"/>
  <c r="E64" i="11"/>
  <c r="E50" i="11"/>
  <c r="E51" i="11"/>
  <c r="E52" i="11"/>
  <c r="E53" i="11"/>
  <c r="E54" i="11"/>
  <c r="E55" i="11"/>
  <c r="E56" i="11"/>
  <c r="E57" i="11"/>
  <c r="E58" i="11"/>
  <c r="E61" i="11"/>
  <c r="E62" i="11"/>
  <c r="E49" i="11"/>
  <c r="E44" i="11"/>
  <c r="E45" i="11"/>
  <c r="E43" i="11"/>
  <c r="E15" i="11"/>
  <c r="E16" i="11"/>
  <c r="E17" i="11"/>
  <c r="E18" i="11"/>
  <c r="E19" i="11"/>
  <c r="E20" i="11"/>
  <c r="E21" i="11"/>
  <c r="E22" i="11"/>
  <c r="E25" i="11"/>
  <c r="E26" i="11"/>
  <c r="E27" i="11"/>
  <c r="E28" i="11"/>
  <c r="E29" i="11"/>
  <c r="E30" i="11"/>
  <c r="E14" i="11"/>
  <c r="E10" i="11"/>
  <c r="E11" i="11"/>
  <c r="E9" i="11"/>
  <c r="C64" i="11"/>
  <c r="C50" i="11"/>
  <c r="C51" i="11"/>
  <c r="C52" i="11"/>
  <c r="C53" i="11"/>
  <c r="C55" i="11"/>
  <c r="C56" i="11"/>
  <c r="C57" i="11"/>
  <c r="C58" i="11"/>
  <c r="C61" i="11"/>
  <c r="C62" i="11"/>
  <c r="C49" i="11"/>
  <c r="C44" i="11"/>
  <c r="C43" i="11"/>
  <c r="C15" i="11"/>
  <c r="C16" i="11"/>
  <c r="C17" i="11"/>
  <c r="C18" i="11"/>
  <c r="C19" i="11"/>
  <c r="C20" i="11"/>
  <c r="C22" i="11"/>
  <c r="C25" i="11"/>
  <c r="C26" i="11"/>
  <c r="C27" i="11"/>
  <c r="C28" i="11"/>
  <c r="C29" i="11"/>
  <c r="C14" i="11"/>
  <c r="C10" i="11"/>
  <c r="C11" i="11"/>
  <c r="C9" i="11"/>
  <c r="B64" i="11"/>
  <c r="B50" i="11"/>
  <c r="B51" i="11"/>
  <c r="B52" i="11"/>
  <c r="B53" i="11"/>
  <c r="B55" i="11"/>
  <c r="B56" i="11"/>
  <c r="B57" i="11"/>
  <c r="B58" i="11"/>
  <c r="B61" i="11"/>
  <c r="B62" i="11"/>
  <c r="B49" i="11"/>
  <c r="B44" i="11"/>
  <c r="B43" i="11"/>
  <c r="B15" i="11"/>
  <c r="B16" i="11"/>
  <c r="B17" i="11"/>
  <c r="B18" i="11"/>
  <c r="B19" i="11"/>
  <c r="B20" i="11"/>
  <c r="B22" i="11"/>
  <c r="B25" i="11"/>
  <c r="B26" i="11"/>
  <c r="B27" i="11"/>
  <c r="B28" i="11"/>
  <c r="B29" i="11"/>
  <c r="B14" i="11"/>
  <c r="B10" i="11"/>
  <c r="B11" i="11"/>
  <c r="B9" i="11"/>
  <c r="G68" i="9"/>
  <c r="E68" i="9"/>
  <c r="G49" i="9"/>
  <c r="G54" i="9"/>
  <c r="G56" i="9"/>
  <c r="G57" i="9"/>
  <c r="G58" i="9"/>
  <c r="G59" i="9"/>
  <c r="G66" i="9"/>
  <c r="E49" i="9"/>
  <c r="E54" i="9"/>
  <c r="E56" i="9"/>
  <c r="E57" i="9"/>
  <c r="E58" i="9"/>
  <c r="E59" i="9"/>
  <c r="E66" i="9"/>
  <c r="G15" i="9"/>
  <c r="G13" i="9"/>
  <c r="E15" i="9"/>
  <c r="E13" i="9"/>
  <c r="G9" i="9"/>
  <c r="E9" i="9"/>
  <c r="C68" i="9"/>
  <c r="B68" i="9"/>
  <c r="C13" i="9"/>
  <c r="B13" i="9"/>
  <c r="C58" i="9"/>
  <c r="B58" i="9"/>
  <c r="C56" i="9"/>
  <c r="B56" i="9"/>
  <c r="C9" i="9"/>
  <c r="B9" i="9"/>
  <c r="B13" i="28" l="1"/>
  <c r="B14" i="28"/>
  <c r="G59" i="5"/>
  <c r="G66" i="5"/>
  <c r="G49" i="5"/>
  <c r="G54" i="5"/>
  <c r="G56" i="5"/>
  <c r="G57" i="5"/>
  <c r="G58" i="5"/>
  <c r="G61" i="5"/>
  <c r="G48" i="5"/>
  <c r="G14" i="5"/>
  <c r="G15" i="5"/>
  <c r="G16" i="5"/>
  <c r="G17" i="5"/>
  <c r="G8" i="5"/>
  <c r="E66" i="5"/>
  <c r="E49" i="5"/>
  <c r="E54" i="5"/>
  <c r="E56" i="5"/>
  <c r="E57" i="5"/>
  <c r="E58" i="5"/>
  <c r="E59" i="5"/>
  <c r="E61" i="5"/>
  <c r="E48" i="5"/>
  <c r="E14" i="5"/>
  <c r="E15" i="5"/>
  <c r="E16" i="5"/>
  <c r="E17" i="5"/>
  <c r="E8" i="5"/>
  <c r="C66" i="5"/>
  <c r="C49" i="5"/>
  <c r="C57" i="5"/>
  <c r="C58" i="5"/>
  <c r="C59" i="5"/>
  <c r="C61" i="5"/>
  <c r="C48" i="5"/>
  <c r="C14" i="5"/>
  <c r="C17" i="5"/>
  <c r="C8" i="5"/>
  <c r="B66" i="5"/>
  <c r="B49" i="5"/>
  <c r="B57" i="5"/>
  <c r="B58" i="5"/>
  <c r="B59" i="5"/>
  <c r="B61" i="5"/>
  <c r="B48" i="5"/>
  <c r="B14" i="5"/>
  <c r="B12" i="5" s="1"/>
  <c r="B17" i="5"/>
  <c r="B8" i="5"/>
  <c r="I72" i="1"/>
  <c r="G67" i="1"/>
  <c r="E67" i="2" s="1"/>
  <c r="G49" i="1"/>
  <c r="G50" i="1"/>
  <c r="G51" i="1"/>
  <c r="G52" i="1"/>
  <c r="G53" i="1"/>
  <c r="G54" i="1"/>
  <c r="E54" i="2" s="1"/>
  <c r="G54" i="2" s="1"/>
  <c r="G55" i="1"/>
  <c r="E55" i="2" s="1"/>
  <c r="G55" i="2" s="1"/>
  <c r="G56" i="1"/>
  <c r="G57" i="1"/>
  <c r="G58" i="1"/>
  <c r="G59" i="1"/>
  <c r="G60" i="1"/>
  <c r="E60" i="2" s="1"/>
  <c r="G60" i="2" s="1"/>
  <c r="G61" i="1"/>
  <c r="E61" i="2" s="1"/>
  <c r="G62" i="1"/>
  <c r="E62" i="2" s="1"/>
  <c r="G63" i="1"/>
  <c r="G64" i="1"/>
  <c r="G65" i="1"/>
  <c r="G48" i="1"/>
  <c r="E48" i="2" s="1"/>
  <c r="G43" i="1"/>
  <c r="E43" i="2" s="1"/>
  <c r="G43" i="2" s="1"/>
  <c r="G44" i="1"/>
  <c r="E44" i="2" s="1"/>
  <c r="G42" i="1"/>
  <c r="E42" i="2" s="1"/>
  <c r="G14" i="1"/>
  <c r="G15" i="1"/>
  <c r="G16" i="1"/>
  <c r="G17" i="1"/>
  <c r="G18" i="1"/>
  <c r="E18" i="2" s="1"/>
  <c r="G18" i="2" s="1"/>
  <c r="G19" i="1"/>
  <c r="E19" i="2" s="1"/>
  <c r="G19" i="2" s="1"/>
  <c r="G20" i="1"/>
  <c r="G21" i="1"/>
  <c r="G23" i="1"/>
  <c r="G24" i="1"/>
  <c r="E24" i="2" s="1"/>
  <c r="G24" i="2" s="1"/>
  <c r="G25" i="1"/>
  <c r="E25" i="2" s="1"/>
  <c r="G26" i="1"/>
  <c r="G27" i="1"/>
  <c r="G28" i="1"/>
  <c r="G29" i="1"/>
  <c r="G31" i="1"/>
  <c r="E31" i="2" s="1"/>
  <c r="G31" i="2" s="1"/>
  <c r="G33" i="1"/>
  <c r="E33" i="2" s="1"/>
  <c r="G34" i="1"/>
  <c r="G35" i="1"/>
  <c r="E37" i="2"/>
  <c r="G37" i="2" s="1"/>
  <c r="G38" i="1"/>
  <c r="G39" i="1"/>
  <c r="G13" i="1"/>
  <c r="E13" i="2" s="1"/>
  <c r="G13" i="2" s="1"/>
  <c r="E67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48" i="1"/>
  <c r="E43" i="1"/>
  <c r="E44" i="1"/>
  <c r="E42" i="1"/>
  <c r="E14" i="1"/>
  <c r="E15" i="1"/>
  <c r="E16" i="1"/>
  <c r="E17" i="1"/>
  <c r="E18" i="1"/>
  <c r="E19" i="1"/>
  <c r="E20" i="1"/>
  <c r="E21" i="1"/>
  <c r="E23" i="1"/>
  <c r="E24" i="1"/>
  <c r="E25" i="1"/>
  <c r="E26" i="1"/>
  <c r="E27" i="1"/>
  <c r="E28" i="1"/>
  <c r="E29" i="1"/>
  <c r="E31" i="1"/>
  <c r="E33" i="1"/>
  <c r="E34" i="1"/>
  <c r="E35" i="1"/>
  <c r="E38" i="1"/>
  <c r="E39" i="1"/>
  <c r="E13" i="1"/>
  <c r="E9" i="1"/>
  <c r="E10" i="1"/>
  <c r="E8" i="1"/>
  <c r="G9" i="1"/>
  <c r="E9" i="2" s="1"/>
  <c r="G10" i="1"/>
  <c r="G8" i="1"/>
  <c r="C67" i="1"/>
  <c r="C61" i="1"/>
  <c r="C62" i="1"/>
  <c r="C63" i="1"/>
  <c r="C64" i="1"/>
  <c r="C65" i="1"/>
  <c r="C60" i="1"/>
  <c r="C49" i="1"/>
  <c r="C50" i="1"/>
  <c r="C51" i="1"/>
  <c r="C52" i="1"/>
  <c r="C53" i="1"/>
  <c r="C54" i="1"/>
  <c r="C55" i="1"/>
  <c r="C56" i="1"/>
  <c r="C57" i="1"/>
  <c r="C48" i="1"/>
  <c r="C43" i="1"/>
  <c r="C44" i="1"/>
  <c r="C42" i="1"/>
  <c r="C33" i="1"/>
  <c r="C31" i="1"/>
  <c r="C25" i="1"/>
  <c r="C26" i="1"/>
  <c r="C27" i="1"/>
  <c r="C28" i="1"/>
  <c r="C29" i="1"/>
  <c r="C24" i="1"/>
  <c r="C21" i="1"/>
  <c r="C14" i="1"/>
  <c r="C15" i="1"/>
  <c r="C16" i="1"/>
  <c r="C17" i="1"/>
  <c r="C18" i="1"/>
  <c r="C19" i="1"/>
  <c r="C13" i="1"/>
  <c r="C10" i="1"/>
  <c r="C9" i="1"/>
  <c r="C8" i="1"/>
  <c r="B21" i="1"/>
  <c r="B24" i="1"/>
  <c r="B67" i="1"/>
  <c r="B49" i="1"/>
  <c r="B50" i="1"/>
  <c r="B51" i="1"/>
  <c r="B52" i="1"/>
  <c r="B53" i="1"/>
  <c r="B54" i="1"/>
  <c r="B55" i="1"/>
  <c r="B56" i="1"/>
  <c r="B57" i="1"/>
  <c r="B60" i="1"/>
  <c r="B61" i="1"/>
  <c r="B62" i="1"/>
  <c r="B63" i="1"/>
  <c r="B64" i="1"/>
  <c r="B65" i="1"/>
  <c r="B48" i="1"/>
  <c r="B43" i="1"/>
  <c r="B44" i="1"/>
  <c r="B42" i="1"/>
  <c r="B14" i="1"/>
  <c r="B15" i="1"/>
  <c r="B16" i="1"/>
  <c r="B17" i="1"/>
  <c r="B18" i="1"/>
  <c r="B19" i="1"/>
  <c r="B25" i="1"/>
  <c r="B26" i="1"/>
  <c r="B27" i="1"/>
  <c r="B28" i="1"/>
  <c r="B29" i="1"/>
  <c r="B31" i="1"/>
  <c r="B33" i="1"/>
  <c r="B13" i="1"/>
  <c r="B9" i="1"/>
  <c r="B10" i="1"/>
  <c r="B8" i="1"/>
  <c r="F58" i="25"/>
  <c r="F55" i="25"/>
  <c r="F52" i="25"/>
  <c r="F50" i="25"/>
  <c r="F48" i="25"/>
  <c r="F45" i="25"/>
  <c r="F39" i="25"/>
  <c r="F37" i="25"/>
  <c r="F35" i="25"/>
  <c r="F32" i="25"/>
  <c r="F29" i="25"/>
  <c r="F27" i="25"/>
  <c r="F24" i="25"/>
  <c r="F22" i="25"/>
  <c r="F19" i="25"/>
  <c r="F16" i="25"/>
  <c r="F13" i="25"/>
  <c r="C58" i="25"/>
  <c r="C55" i="25"/>
  <c r="C52" i="25"/>
  <c r="C50" i="25"/>
  <c r="C48" i="25"/>
  <c r="C45" i="25"/>
  <c r="C39" i="25"/>
  <c r="C37" i="25"/>
  <c r="C35" i="25"/>
  <c r="C32" i="25"/>
  <c r="C29" i="25"/>
  <c r="C27" i="25"/>
  <c r="C24" i="25"/>
  <c r="C22" i="25"/>
  <c r="C19" i="25"/>
  <c r="C16" i="25"/>
  <c r="C13" i="25"/>
  <c r="F58" i="23"/>
  <c r="F55" i="23"/>
  <c r="F52" i="23"/>
  <c r="F50" i="23"/>
  <c r="F48" i="23"/>
  <c r="F45" i="23"/>
  <c r="F39" i="23"/>
  <c r="F37" i="23"/>
  <c r="F35" i="23"/>
  <c r="F32" i="23"/>
  <c r="F29" i="23"/>
  <c r="F27" i="23"/>
  <c r="F24" i="23"/>
  <c r="F22" i="23"/>
  <c r="F19" i="23"/>
  <c r="F16" i="23"/>
  <c r="F13" i="23"/>
  <c r="C58" i="23"/>
  <c r="C55" i="23"/>
  <c r="C52" i="23"/>
  <c r="C50" i="23"/>
  <c r="C48" i="23"/>
  <c r="C45" i="23"/>
  <c r="C39" i="23"/>
  <c r="C37" i="23"/>
  <c r="C35" i="23"/>
  <c r="C32" i="23"/>
  <c r="C29" i="23"/>
  <c r="C27" i="23"/>
  <c r="C24" i="23"/>
  <c r="C22" i="23"/>
  <c r="C19" i="23"/>
  <c r="C16" i="23"/>
  <c r="C13" i="23"/>
  <c r="E7" i="23"/>
  <c r="G7" i="23" s="1"/>
  <c r="G31" i="26"/>
  <c r="D31" i="26"/>
  <c r="G10" i="26"/>
  <c r="D10" i="26"/>
  <c r="F8" i="12"/>
  <c r="F13" i="12"/>
  <c r="F42" i="12"/>
  <c r="F48" i="12"/>
  <c r="F63" i="12"/>
  <c r="C8" i="12"/>
  <c r="C13" i="12"/>
  <c r="C42" i="12"/>
  <c r="C48" i="12"/>
  <c r="C63" i="12"/>
  <c r="F7" i="10"/>
  <c r="F11" i="10"/>
  <c r="F12" i="10"/>
  <c r="F41" i="10"/>
  <c r="F46" i="10"/>
  <c r="F47" i="10"/>
  <c r="F67" i="10"/>
  <c r="C7" i="10"/>
  <c r="C12" i="10"/>
  <c r="C47" i="10"/>
  <c r="C67" i="10"/>
  <c r="I72" i="2"/>
  <c r="I67" i="2"/>
  <c r="F7" i="2"/>
  <c r="F12" i="2"/>
  <c r="I13" i="2"/>
  <c r="I19" i="2"/>
  <c r="G20" i="2"/>
  <c r="G22" i="2"/>
  <c r="I39" i="2"/>
  <c r="F40" i="2"/>
  <c r="F41" i="2"/>
  <c r="I43" i="2"/>
  <c r="F47" i="2"/>
  <c r="I52" i="2"/>
  <c r="F66" i="2"/>
  <c r="C7" i="2"/>
  <c r="C11" i="2"/>
  <c r="C12" i="2"/>
  <c r="D23" i="2"/>
  <c r="I25" i="2"/>
  <c r="I31" i="2"/>
  <c r="C40" i="2"/>
  <c r="C41" i="2"/>
  <c r="C47" i="2"/>
  <c r="I61" i="2"/>
  <c r="C66" i="2"/>
  <c r="I34" i="2"/>
  <c r="I55" i="2"/>
  <c r="I64" i="2"/>
  <c r="I58" i="2"/>
  <c r="G23" i="2"/>
  <c r="G45" i="2"/>
  <c r="D20" i="2"/>
  <c r="I23" i="2"/>
  <c r="J23" i="2" s="1"/>
  <c r="I45" i="2"/>
  <c r="J45" i="2" s="1"/>
  <c r="I10" i="2"/>
  <c r="I63" i="2"/>
  <c r="I8" i="2"/>
  <c r="D45" i="2"/>
  <c r="E8" i="2"/>
  <c r="G8" i="2" s="1"/>
  <c r="E10" i="2"/>
  <c r="E14" i="2"/>
  <c r="E15" i="2"/>
  <c r="G15" i="2" s="1"/>
  <c r="E16" i="2"/>
  <c r="G16" i="2" s="1"/>
  <c r="I16" i="2"/>
  <c r="E17" i="2"/>
  <c r="G17" i="2" s="1"/>
  <c r="E20" i="2"/>
  <c r="E21" i="2"/>
  <c r="G21" i="2" s="1"/>
  <c r="D22" i="2"/>
  <c r="E22" i="2"/>
  <c r="I22" i="2"/>
  <c r="J22" i="2" s="1"/>
  <c r="E23" i="2"/>
  <c r="E26" i="2"/>
  <c r="E27" i="2"/>
  <c r="G27" i="2"/>
  <c r="E28" i="2"/>
  <c r="E29" i="2"/>
  <c r="G29" i="2" s="1"/>
  <c r="E30" i="2"/>
  <c r="G30" i="2" s="1"/>
  <c r="E32" i="2"/>
  <c r="G32" i="2" s="1"/>
  <c r="E34" i="2"/>
  <c r="G34" i="2" s="1"/>
  <c r="E35" i="2"/>
  <c r="G35" i="2" s="1"/>
  <c r="E36" i="2"/>
  <c r="G36" i="2" s="1"/>
  <c r="I37" i="2"/>
  <c r="E38" i="2"/>
  <c r="G38" i="2"/>
  <c r="E39" i="2"/>
  <c r="E45" i="2"/>
  <c r="E49" i="2"/>
  <c r="G49" i="2" s="1"/>
  <c r="E50" i="2"/>
  <c r="E51" i="2"/>
  <c r="G51" i="2" s="1"/>
  <c r="E52" i="2"/>
  <c r="E53" i="2"/>
  <c r="G53" i="2" s="1"/>
  <c r="E56" i="2"/>
  <c r="E57" i="2"/>
  <c r="G57" i="2" s="1"/>
  <c r="E58" i="2"/>
  <c r="G58" i="2" s="1"/>
  <c r="E59" i="2"/>
  <c r="G59" i="2" s="1"/>
  <c r="E63" i="2"/>
  <c r="E64" i="2"/>
  <c r="E65" i="2"/>
  <c r="G65" i="2" s="1"/>
  <c r="E72" i="2"/>
  <c r="G72" i="2" s="1"/>
  <c r="F65" i="25" l="1"/>
  <c r="C65" i="23"/>
  <c r="C65" i="25"/>
  <c r="F65" i="23"/>
  <c r="G67" i="2"/>
  <c r="G64" i="2"/>
  <c r="G63" i="2"/>
  <c r="E47" i="2"/>
  <c r="G47" i="2" s="1"/>
  <c r="G62" i="2"/>
  <c r="G56" i="2"/>
  <c r="G50" i="2"/>
  <c r="G61" i="2"/>
  <c r="G48" i="2"/>
  <c r="E41" i="2"/>
  <c r="G41" i="2" s="1"/>
  <c r="G44" i="2"/>
  <c r="G42" i="2"/>
  <c r="G33" i="2"/>
  <c r="G26" i="2"/>
  <c r="G14" i="2"/>
  <c r="G25" i="2"/>
  <c r="G28" i="2"/>
  <c r="E12" i="2"/>
  <c r="G12" i="2" s="1"/>
  <c r="G10" i="2"/>
  <c r="G9" i="2"/>
  <c r="E7" i="2"/>
  <c r="G7" i="2" s="1"/>
  <c r="I44" i="2"/>
  <c r="G39" i="2"/>
  <c r="I28" i="2"/>
  <c r="G52" i="2"/>
  <c r="I33" i="2"/>
  <c r="I27" i="2"/>
  <c r="I21" i="2"/>
  <c r="I15" i="2"/>
  <c r="I9" i="2"/>
  <c r="I50" i="2"/>
  <c r="I29" i="2"/>
  <c r="I49" i="2"/>
  <c r="I62" i="2"/>
  <c r="I26" i="2"/>
  <c r="I35" i="2"/>
  <c r="I18" i="2"/>
  <c r="I60" i="2"/>
  <c r="I54" i="2"/>
  <c r="I48" i="2"/>
  <c r="I36" i="2"/>
  <c r="I30" i="2"/>
  <c r="I24" i="2"/>
  <c r="I59" i="2"/>
  <c r="I38" i="2"/>
  <c r="I14" i="2"/>
  <c r="I42" i="2"/>
  <c r="I51" i="2"/>
  <c r="I65" i="2"/>
  <c r="I53" i="2"/>
  <c r="I17" i="2"/>
  <c r="I12" i="2"/>
  <c r="I57" i="2"/>
  <c r="I56" i="2"/>
  <c r="I32" i="2"/>
  <c r="I20" i="2"/>
  <c r="J20" i="2" s="1"/>
  <c r="I47" i="2"/>
  <c r="I7" i="2"/>
  <c r="E66" i="2" l="1"/>
  <c r="G66" i="2" s="1"/>
  <c r="I41" i="2"/>
  <c r="I66" i="2"/>
  <c r="B12" i="28" l="1"/>
  <c r="I57" i="10"/>
  <c r="I66" i="10"/>
  <c r="G66" i="10"/>
  <c r="E68" i="10"/>
  <c r="B11" i="28"/>
  <c r="J30" i="31" l="1"/>
  <c r="E13" i="25"/>
  <c r="B13" i="25"/>
  <c r="G30" i="26"/>
  <c r="D30" i="26"/>
  <c r="G9" i="26"/>
  <c r="D9" i="26"/>
  <c r="I64" i="12"/>
  <c r="I64" i="11"/>
  <c r="D15" i="10"/>
  <c r="I71" i="5"/>
  <c r="I66" i="5"/>
  <c r="D72" i="1"/>
  <c r="I67" i="1"/>
  <c r="D67" i="1"/>
  <c r="F48" i="5" l="1"/>
  <c r="J150" i="31"/>
  <c r="J75" i="31"/>
  <c r="E60" i="31"/>
  <c r="H30" i="31" l="1"/>
  <c r="E90" i="31"/>
  <c r="J135" i="31"/>
  <c r="C150" i="31"/>
  <c r="J165" i="31"/>
  <c r="J45" i="31"/>
  <c r="E135" i="31"/>
  <c r="E150" i="31"/>
  <c r="C30" i="31"/>
  <c r="H90" i="31"/>
  <c r="J60" i="31"/>
  <c r="H150" i="31"/>
  <c r="C15" i="31"/>
  <c r="C45" i="31"/>
  <c r="C75" i="31"/>
  <c r="H120" i="31"/>
  <c r="J15" i="31"/>
  <c r="E15" i="31"/>
  <c r="E30" i="31"/>
  <c r="H45" i="31"/>
  <c r="E45" i="31"/>
  <c r="C60" i="31"/>
  <c r="H75" i="31"/>
  <c r="E75" i="31"/>
  <c r="C90" i="31"/>
  <c r="H105" i="31"/>
  <c r="C120" i="31"/>
  <c r="C165" i="31"/>
  <c r="H15" i="31"/>
  <c r="H60" i="31"/>
  <c r="J90" i="31"/>
  <c r="E105" i="31"/>
  <c r="C105" i="31"/>
  <c r="J105" i="31"/>
  <c r="J120" i="31"/>
  <c r="H135" i="31"/>
  <c r="C135" i="31"/>
  <c r="H165" i="31"/>
  <c r="E165" i="31"/>
  <c r="E120" i="31"/>
  <c r="G8" i="26" l="1"/>
  <c r="D8" i="26"/>
  <c r="G29" i="26"/>
  <c r="D29" i="26"/>
  <c r="B63" i="23"/>
  <c r="F12" i="22"/>
  <c r="C12" i="22"/>
  <c r="H49" i="11" l="1"/>
  <c r="F49" i="11"/>
  <c r="G51" i="10" l="1"/>
  <c r="G52" i="10"/>
  <c r="G53" i="10"/>
  <c r="G60" i="10"/>
  <c r="G61" i="10"/>
  <c r="G62" i="10"/>
  <c r="G63" i="10"/>
  <c r="D51" i="10"/>
  <c r="D52" i="10"/>
  <c r="D53" i="10"/>
  <c r="D60" i="10"/>
  <c r="D61" i="10"/>
  <c r="D63" i="10"/>
  <c r="E49" i="10"/>
  <c r="D50" i="9"/>
  <c r="I50" i="9"/>
  <c r="D51" i="9"/>
  <c r="B51" i="10"/>
  <c r="H51" i="10" s="1"/>
  <c r="D52" i="9"/>
  <c r="D53" i="9"/>
  <c r="D54" i="9"/>
  <c r="D55" i="9"/>
  <c r="I55" i="9"/>
  <c r="E55" i="10"/>
  <c r="D57" i="9"/>
  <c r="B57" i="10"/>
  <c r="D58" i="9"/>
  <c r="D59" i="9"/>
  <c r="D60" i="9"/>
  <c r="I60" i="9"/>
  <c r="D61" i="9"/>
  <c r="I61" i="9"/>
  <c r="D62" i="9"/>
  <c r="D63" i="9"/>
  <c r="I63" i="9"/>
  <c r="D64" i="9"/>
  <c r="D65" i="9"/>
  <c r="D66" i="9"/>
  <c r="D43" i="9"/>
  <c r="I43" i="9"/>
  <c r="D44" i="9"/>
  <c r="D45" i="9"/>
  <c r="I45" i="9"/>
  <c r="D15" i="9"/>
  <c r="I15" i="9"/>
  <c r="D16" i="9"/>
  <c r="I16" i="9"/>
  <c r="D17" i="9"/>
  <c r="D18" i="9"/>
  <c r="I18" i="9"/>
  <c r="D19" i="9"/>
  <c r="I19" i="9"/>
  <c r="D20" i="9"/>
  <c r="I20" i="9"/>
  <c r="D21" i="9"/>
  <c r="D22" i="9"/>
  <c r="I22" i="9"/>
  <c r="D23" i="9"/>
  <c r="I23" i="9"/>
  <c r="D24" i="9"/>
  <c r="I24" i="9"/>
  <c r="D25" i="9"/>
  <c r="D26" i="9"/>
  <c r="I26" i="9"/>
  <c r="D27" i="9"/>
  <c r="I27" i="9"/>
  <c r="D28" i="9"/>
  <c r="D29" i="9"/>
  <c r="I29" i="9"/>
  <c r="D30" i="9"/>
  <c r="I30" i="9"/>
  <c r="D31" i="9"/>
  <c r="I31" i="9"/>
  <c r="D32" i="9"/>
  <c r="I32" i="9"/>
  <c r="D33" i="9"/>
  <c r="D34" i="9"/>
  <c r="D35" i="9"/>
  <c r="D36" i="9"/>
  <c r="D37" i="9"/>
  <c r="D38" i="9"/>
  <c r="D39" i="9"/>
  <c r="E43" i="10"/>
  <c r="E45" i="10"/>
  <c r="I28" i="9" l="1"/>
  <c r="I65" i="9"/>
  <c r="D49" i="9"/>
  <c r="B63" i="10"/>
  <c r="H63" i="10" s="1"/>
  <c r="E62" i="10"/>
  <c r="B55" i="10"/>
  <c r="H55" i="10" s="1"/>
  <c r="B54" i="10"/>
  <c r="E51" i="10"/>
  <c r="D14" i="9"/>
  <c r="E66" i="10"/>
  <c r="B62" i="10"/>
  <c r="H62" i="10" s="1"/>
  <c r="E61" i="10"/>
  <c r="B52" i="10"/>
  <c r="H52" i="10" s="1"/>
  <c r="B66" i="10"/>
  <c r="E65" i="10"/>
  <c r="G65" i="10" s="1"/>
  <c r="E64" i="10"/>
  <c r="G64" i="10" s="1"/>
  <c r="B61" i="10"/>
  <c r="H61" i="10" s="1"/>
  <c r="E60" i="10"/>
  <c r="E59" i="10"/>
  <c r="G59" i="10" s="1"/>
  <c r="E58" i="10"/>
  <c r="G58" i="10" s="1"/>
  <c r="E57" i="10"/>
  <c r="H57" i="10" s="1"/>
  <c r="J57" i="10" s="1"/>
  <c r="E56" i="10"/>
  <c r="G56" i="10" s="1"/>
  <c r="B50" i="10"/>
  <c r="H50" i="10" s="1"/>
  <c r="B49" i="10"/>
  <c r="H49" i="10" s="1"/>
  <c r="I62" i="10"/>
  <c r="J62" i="10" s="1"/>
  <c r="D62" i="10"/>
  <c r="I50" i="10"/>
  <c r="I25" i="9"/>
  <c r="I21" i="9"/>
  <c r="I17" i="9"/>
  <c r="I44" i="9"/>
  <c r="B65" i="10"/>
  <c r="D65" i="10" s="1"/>
  <c r="B64" i="10"/>
  <c r="H64" i="10" s="1"/>
  <c r="E63" i="10"/>
  <c r="I62" i="9"/>
  <c r="B60" i="10"/>
  <c r="H60" i="10" s="1"/>
  <c r="B59" i="10"/>
  <c r="E53" i="10"/>
  <c r="I52" i="9"/>
  <c r="D57" i="10"/>
  <c r="I49" i="10"/>
  <c r="G55" i="10"/>
  <c r="G49" i="10"/>
  <c r="D56" i="9"/>
  <c r="I51" i="9"/>
  <c r="B53" i="10"/>
  <c r="H53" i="10" s="1"/>
  <c r="I58" i="10"/>
  <c r="I54" i="10"/>
  <c r="I53" i="9"/>
  <c r="B58" i="10"/>
  <c r="B56" i="10"/>
  <c r="E54" i="10"/>
  <c r="G54" i="10" s="1"/>
  <c r="E52" i="10"/>
  <c r="E50" i="10"/>
  <c r="G50" i="10" s="1"/>
  <c r="I65" i="10"/>
  <c r="I53" i="10"/>
  <c r="J53" i="10" s="1"/>
  <c r="I60" i="10"/>
  <c r="J60" i="10" s="1"/>
  <c r="I52" i="10"/>
  <c r="J52" i="10" s="1"/>
  <c r="I61" i="10"/>
  <c r="J61" i="10" s="1"/>
  <c r="I64" i="10"/>
  <c r="I56" i="10"/>
  <c r="I63" i="10"/>
  <c r="J63" i="10" s="1"/>
  <c r="I59" i="10"/>
  <c r="I55" i="10"/>
  <c r="I51" i="10"/>
  <c r="J51" i="10" s="1"/>
  <c r="I64" i="9"/>
  <c r="I59" i="9"/>
  <c r="I58" i="9"/>
  <c r="I57" i="9"/>
  <c r="I56" i="9"/>
  <c r="I54" i="9"/>
  <c r="I49" i="9"/>
  <c r="I66" i="9"/>
  <c r="E44" i="10"/>
  <c r="I37" i="9"/>
  <c r="I35" i="9"/>
  <c r="I14" i="9"/>
  <c r="I39" i="9"/>
  <c r="I36" i="9"/>
  <c r="I33" i="9"/>
  <c r="I38" i="9"/>
  <c r="I34" i="9"/>
  <c r="D55" i="10" l="1"/>
  <c r="H65" i="10"/>
  <c r="J65" i="10" s="1"/>
  <c r="J50" i="10"/>
  <c r="J64" i="10"/>
  <c r="H59" i="10"/>
  <c r="J59" i="10" s="1"/>
  <c r="J55" i="10"/>
  <c r="H58" i="10"/>
  <c r="J58" i="10" s="1"/>
  <c r="J49" i="10"/>
  <c r="G57" i="10"/>
  <c r="D50" i="10"/>
  <c r="H56" i="10"/>
  <c r="J56" i="10" s="1"/>
  <c r="D49" i="10"/>
  <c r="D58" i="10"/>
  <c r="H66" i="10"/>
  <c r="J66" i="10" s="1"/>
  <c r="D56" i="10"/>
  <c r="H54" i="10"/>
  <c r="J54" i="10" s="1"/>
  <c r="D54" i="10"/>
  <c r="D66" i="10"/>
  <c r="D59" i="10"/>
  <c r="D64" i="10"/>
  <c r="D63" i="23" l="1"/>
  <c r="G60" i="12"/>
  <c r="D60" i="12"/>
  <c r="G46" i="12"/>
  <c r="D46" i="12"/>
  <c r="G45" i="12"/>
  <c r="D45" i="12"/>
  <c r="G40" i="12"/>
  <c r="D40" i="12"/>
  <c r="G39" i="12"/>
  <c r="D39" i="12"/>
  <c r="G38" i="12"/>
  <c r="D38" i="12"/>
  <c r="G37" i="12"/>
  <c r="D37" i="12"/>
  <c r="G36" i="12"/>
  <c r="D36" i="12"/>
  <c r="G33" i="12"/>
  <c r="D33" i="12"/>
  <c r="G21" i="12"/>
  <c r="D21" i="12"/>
  <c r="G45" i="10"/>
  <c r="D45" i="10"/>
  <c r="G44" i="10"/>
  <c r="D44" i="10"/>
  <c r="G43" i="10"/>
  <c r="D43" i="10"/>
  <c r="G42" i="10"/>
  <c r="D42" i="10"/>
  <c r="G39" i="10"/>
  <c r="D39" i="10"/>
  <c r="G38" i="10"/>
  <c r="D38" i="10"/>
  <c r="G36" i="10"/>
  <c r="D36" i="10"/>
  <c r="G35" i="10"/>
  <c r="D35" i="10"/>
  <c r="G34" i="10"/>
  <c r="D34" i="10"/>
  <c r="G33" i="10"/>
  <c r="D33" i="10"/>
  <c r="G31" i="10"/>
  <c r="D31" i="10"/>
  <c r="G30" i="10"/>
  <c r="D30" i="10"/>
  <c r="G29" i="10"/>
  <c r="D29" i="10"/>
  <c r="G27" i="10"/>
  <c r="D27" i="10"/>
  <c r="G26" i="10"/>
  <c r="D26" i="10"/>
  <c r="G25" i="10"/>
  <c r="D25" i="10"/>
  <c r="G23" i="10"/>
  <c r="D23" i="10"/>
  <c r="G22" i="10"/>
  <c r="D22" i="10"/>
  <c r="G21" i="10"/>
  <c r="D21" i="10"/>
  <c r="G20" i="10"/>
  <c r="D20" i="10"/>
  <c r="G19" i="10"/>
  <c r="D19" i="10"/>
  <c r="G18" i="10"/>
  <c r="D18" i="10"/>
  <c r="G16" i="10"/>
  <c r="D16" i="10"/>
  <c r="E42" i="10"/>
  <c r="G68" i="10" l="1"/>
  <c r="F30" i="9"/>
  <c r="F22" i="9"/>
  <c r="F45" i="9"/>
  <c r="F54" i="9"/>
  <c r="F36" i="9"/>
  <c r="F43" i="9"/>
  <c r="F27" i="9"/>
  <c r="F60" i="9"/>
  <c r="F57" i="9"/>
  <c r="F39" i="9"/>
  <c r="F35" i="9"/>
  <c r="F29" i="9"/>
  <c r="F21" i="9"/>
  <c r="F32" i="9"/>
  <c r="F24" i="9"/>
  <c r="F16" i="9"/>
  <c r="F66" i="9"/>
  <c r="F49" i="9"/>
  <c r="F15" i="9"/>
  <c r="F65" i="9"/>
  <c r="F53" i="9"/>
  <c r="F56" i="9"/>
  <c r="F51" i="9"/>
  <c r="F26" i="9"/>
  <c r="F18" i="9"/>
  <c r="F63" i="9"/>
  <c r="F55" i="9"/>
  <c r="F38" i="9"/>
  <c r="F34" i="9"/>
  <c r="F44" i="9"/>
  <c r="F62" i="9"/>
  <c r="F52" i="9"/>
  <c r="F31" i="9"/>
  <c r="F19" i="9"/>
  <c r="F14" i="9"/>
  <c r="F59" i="9"/>
  <c r="F37" i="9"/>
  <c r="F33" i="9"/>
  <c r="F25" i="9"/>
  <c r="F17" i="9"/>
  <c r="F28" i="9"/>
  <c r="F20" i="9"/>
  <c r="F61" i="9"/>
  <c r="F50" i="9"/>
  <c r="F23" i="9"/>
  <c r="F64" i="9"/>
  <c r="F58" i="9"/>
  <c r="H36" i="9"/>
  <c r="H62" i="9"/>
  <c r="H32" i="9"/>
  <c r="H24" i="9"/>
  <c r="H16" i="9"/>
  <c r="H66" i="9"/>
  <c r="H61" i="9"/>
  <c r="H27" i="9"/>
  <c r="H19" i="9"/>
  <c r="H22" i="9"/>
  <c r="H53" i="9"/>
  <c r="H39" i="9"/>
  <c r="H35" i="9"/>
  <c r="H29" i="9"/>
  <c r="H21" i="9"/>
  <c r="H44" i="9"/>
  <c r="H64" i="9"/>
  <c r="H60" i="9"/>
  <c r="H58" i="9"/>
  <c r="H56" i="9"/>
  <c r="H26" i="9"/>
  <c r="H63" i="9"/>
  <c r="H38" i="9"/>
  <c r="H34" i="9"/>
  <c r="H51" i="9"/>
  <c r="H28" i="9"/>
  <c r="H20" i="9"/>
  <c r="H31" i="9"/>
  <c r="H23" i="9"/>
  <c r="H15" i="9"/>
  <c r="H52" i="9"/>
  <c r="H55" i="9"/>
  <c r="H50" i="9"/>
  <c r="H37" i="9"/>
  <c r="H33" i="9"/>
  <c r="H25" i="9"/>
  <c r="H17" i="9"/>
  <c r="H43" i="9"/>
  <c r="H14" i="9"/>
  <c r="H65" i="9"/>
  <c r="H59" i="9"/>
  <c r="H57" i="9"/>
  <c r="H30" i="9"/>
  <c r="H18" i="9"/>
  <c r="H45" i="9"/>
  <c r="H54" i="9"/>
  <c r="H49" i="9"/>
  <c r="I45" i="1" l="1"/>
  <c r="I62" i="11" l="1"/>
  <c r="I60" i="11"/>
  <c r="I59" i="11"/>
  <c r="I58" i="11"/>
  <c r="I56" i="11"/>
  <c r="I54" i="11"/>
  <c r="I52" i="11"/>
  <c r="I51" i="11"/>
  <c r="I50" i="11"/>
  <c r="I46" i="11"/>
  <c r="I44" i="11"/>
  <c r="I40" i="11"/>
  <c r="I39" i="11"/>
  <c r="I38" i="11"/>
  <c r="I37" i="11"/>
  <c r="I36" i="11"/>
  <c r="I35" i="11"/>
  <c r="I34" i="11"/>
  <c r="I33" i="11"/>
  <c r="I32" i="11"/>
  <c r="I31" i="11"/>
  <c r="I30" i="11"/>
  <c r="I28" i="11"/>
  <c r="I26" i="11"/>
  <c r="I24" i="11"/>
  <c r="I23" i="11"/>
  <c r="I22" i="11"/>
  <c r="I20" i="11"/>
  <c r="I18" i="11"/>
  <c r="I16" i="11"/>
  <c r="I14" i="11"/>
  <c r="I10" i="11"/>
  <c r="D61" i="11"/>
  <c r="D60" i="11"/>
  <c r="D59" i="11"/>
  <c r="D57" i="11"/>
  <c r="D55" i="11"/>
  <c r="D53" i="11"/>
  <c r="D52" i="11"/>
  <c r="D51" i="11"/>
  <c r="D49" i="11"/>
  <c r="D46" i="11"/>
  <c r="D45" i="11"/>
  <c r="D43" i="11"/>
  <c r="D40" i="11"/>
  <c r="D39" i="11"/>
  <c r="D38" i="11"/>
  <c r="D37" i="11"/>
  <c r="D36" i="11"/>
  <c r="D35" i="11"/>
  <c r="D34" i="11"/>
  <c r="D33" i="11"/>
  <c r="D32" i="11"/>
  <c r="D31" i="11"/>
  <c r="D30" i="11"/>
  <c r="D29" i="11"/>
  <c r="D27" i="11"/>
  <c r="D25" i="11"/>
  <c r="D24" i="11"/>
  <c r="D23" i="11"/>
  <c r="D22" i="11"/>
  <c r="D21" i="11"/>
  <c r="D19" i="11"/>
  <c r="D17" i="11"/>
  <c r="D15" i="11"/>
  <c r="D11" i="11"/>
  <c r="D9" i="11"/>
  <c r="I42" i="9"/>
  <c r="I10" i="9"/>
  <c r="I8" i="9"/>
  <c r="D48" i="9"/>
  <c r="D42" i="9"/>
  <c r="D13" i="9"/>
  <c r="D10" i="9"/>
  <c r="D9" i="9"/>
  <c r="I64" i="5"/>
  <c r="I63" i="5"/>
  <c r="I62" i="5"/>
  <c r="I61" i="5"/>
  <c r="I60" i="5"/>
  <c r="I59" i="5"/>
  <c r="I57" i="5"/>
  <c r="I55" i="5"/>
  <c r="I53" i="5"/>
  <c r="I52" i="5"/>
  <c r="I51" i="5"/>
  <c r="I50" i="5"/>
  <c r="I49" i="5"/>
  <c r="I45" i="5"/>
  <c r="I44" i="5"/>
  <c r="I43" i="5"/>
  <c r="I39" i="5"/>
  <c r="I38" i="5"/>
  <c r="I37" i="5"/>
  <c r="I36" i="5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5" i="5"/>
  <c r="I13" i="5"/>
  <c r="I10" i="5"/>
  <c r="I9" i="5"/>
  <c r="D64" i="5"/>
  <c r="D63" i="5"/>
  <c r="D62" i="5"/>
  <c r="D61" i="5"/>
  <c r="D60" i="5"/>
  <c r="D59" i="5"/>
  <c r="D57" i="5"/>
  <c r="D56" i="5"/>
  <c r="D55" i="5"/>
  <c r="D54" i="5"/>
  <c r="D53" i="5"/>
  <c r="D52" i="5"/>
  <c r="D51" i="5"/>
  <c r="D50" i="5"/>
  <c r="D49" i="5"/>
  <c r="D45" i="5"/>
  <c r="D44" i="5"/>
  <c r="D43" i="5"/>
  <c r="D42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3" i="5"/>
  <c r="D10" i="5"/>
  <c r="D9" i="5"/>
  <c r="I22" i="1"/>
  <c r="D59" i="1"/>
  <c r="D52" i="1"/>
  <c r="D45" i="1"/>
  <c r="D44" i="1"/>
  <c r="D42" i="1"/>
  <c r="D39" i="1"/>
  <c r="D38" i="1"/>
  <c r="D37" i="1"/>
  <c r="D36" i="1"/>
  <c r="D35" i="1"/>
  <c r="D34" i="1"/>
  <c r="D32" i="1"/>
  <c r="D31" i="1"/>
  <c r="D30" i="1"/>
  <c r="D28" i="1"/>
  <c r="D26" i="1"/>
  <c r="D24" i="1"/>
  <c r="D22" i="1"/>
  <c r="D21" i="1"/>
  <c r="D20" i="1"/>
  <c r="D18" i="1"/>
  <c r="D16" i="1"/>
  <c r="D14" i="1"/>
  <c r="D10" i="1"/>
  <c r="D8" i="1"/>
  <c r="I9" i="12" l="1"/>
  <c r="I11" i="12"/>
  <c r="I15" i="12"/>
  <c r="I17" i="12"/>
  <c r="I19" i="12"/>
  <c r="I21" i="12"/>
  <c r="J21" i="12" s="1"/>
  <c r="I23" i="12"/>
  <c r="I25" i="12"/>
  <c r="I27" i="12"/>
  <c r="I29" i="12"/>
  <c r="I31" i="12"/>
  <c r="I33" i="12"/>
  <c r="J33" i="12" s="1"/>
  <c r="I35" i="12"/>
  <c r="I37" i="12"/>
  <c r="J37" i="12" s="1"/>
  <c r="I39" i="12"/>
  <c r="J39" i="12" s="1"/>
  <c r="I43" i="12"/>
  <c r="I45" i="12"/>
  <c r="J45" i="12" s="1"/>
  <c r="I49" i="12"/>
  <c r="I51" i="12"/>
  <c r="I53" i="12"/>
  <c r="I55" i="12"/>
  <c r="I57" i="12"/>
  <c r="I59" i="12"/>
  <c r="I61" i="12"/>
  <c r="I9" i="10"/>
  <c r="I13" i="10"/>
  <c r="I15" i="10"/>
  <c r="I17" i="10"/>
  <c r="I19" i="10"/>
  <c r="J19" i="10" s="1"/>
  <c r="I21" i="10"/>
  <c r="J21" i="10" s="1"/>
  <c r="I23" i="10"/>
  <c r="J23" i="10" s="1"/>
  <c r="I25" i="10"/>
  <c r="J25" i="10" s="1"/>
  <c r="I27" i="10"/>
  <c r="J27" i="10" s="1"/>
  <c r="I29" i="10"/>
  <c r="J29" i="10" s="1"/>
  <c r="I31" i="10"/>
  <c r="J31" i="10" s="1"/>
  <c r="I33" i="10"/>
  <c r="J33" i="10" s="1"/>
  <c r="I35" i="10"/>
  <c r="J35" i="10" s="1"/>
  <c r="I37" i="10"/>
  <c r="I39" i="10"/>
  <c r="J39" i="10" s="1"/>
  <c r="I43" i="10"/>
  <c r="J43" i="10" s="1"/>
  <c r="I45" i="10"/>
  <c r="J45" i="10" s="1"/>
  <c r="D8" i="5"/>
  <c r="D14" i="5"/>
  <c r="D48" i="5"/>
  <c r="D58" i="5"/>
  <c r="I8" i="5"/>
  <c r="I14" i="5"/>
  <c r="I16" i="5"/>
  <c r="I42" i="5"/>
  <c r="I48" i="5"/>
  <c r="I54" i="5"/>
  <c r="I56" i="5"/>
  <c r="I58" i="5"/>
  <c r="D8" i="9"/>
  <c r="I9" i="9"/>
  <c r="I13" i="9"/>
  <c r="D10" i="11"/>
  <c r="D14" i="11"/>
  <c r="D16" i="11"/>
  <c r="D18" i="11"/>
  <c r="D20" i="11"/>
  <c r="D26" i="11"/>
  <c r="D28" i="11"/>
  <c r="D44" i="11"/>
  <c r="D50" i="11"/>
  <c r="D54" i="11"/>
  <c r="D56" i="11"/>
  <c r="D58" i="11"/>
  <c r="D62" i="11"/>
  <c r="I9" i="11"/>
  <c r="I11" i="11"/>
  <c r="I15" i="11"/>
  <c r="I17" i="11"/>
  <c r="I19" i="11"/>
  <c r="I21" i="11"/>
  <c r="I25" i="11"/>
  <c r="I27" i="11"/>
  <c r="I29" i="11"/>
  <c r="I43" i="11"/>
  <c r="I45" i="11"/>
  <c r="I49" i="11"/>
  <c r="I53" i="11"/>
  <c r="I55" i="11"/>
  <c r="I57" i="11"/>
  <c r="I61" i="11"/>
  <c r="I10" i="12"/>
  <c r="I14" i="12"/>
  <c r="I16" i="12"/>
  <c r="I18" i="12"/>
  <c r="I20" i="12"/>
  <c r="I22" i="12"/>
  <c r="I24" i="12"/>
  <c r="I26" i="12"/>
  <c r="I28" i="12"/>
  <c r="I30" i="12"/>
  <c r="I32" i="12"/>
  <c r="I34" i="12"/>
  <c r="I36" i="12"/>
  <c r="J36" i="12" s="1"/>
  <c r="I38" i="12"/>
  <c r="J38" i="12" s="1"/>
  <c r="I40" i="12"/>
  <c r="J40" i="12" s="1"/>
  <c r="I44" i="12"/>
  <c r="I46" i="12"/>
  <c r="J46" i="12" s="1"/>
  <c r="I50" i="12"/>
  <c r="I52" i="12"/>
  <c r="I54" i="12"/>
  <c r="I56" i="12"/>
  <c r="I58" i="12"/>
  <c r="I60" i="12"/>
  <c r="J60" i="12" s="1"/>
  <c r="I62" i="12"/>
  <c r="D48" i="1"/>
  <c r="D50" i="1"/>
  <c r="D54" i="1"/>
  <c r="D56" i="1"/>
  <c r="D58" i="1"/>
  <c r="D60" i="1"/>
  <c r="D62" i="1"/>
  <c r="D64" i="1"/>
  <c r="I9" i="1"/>
  <c r="I13" i="1"/>
  <c r="I15" i="1"/>
  <c r="I17" i="1"/>
  <c r="I19" i="1"/>
  <c r="I21" i="1"/>
  <c r="I23" i="1"/>
  <c r="I25" i="1"/>
  <c r="I27" i="1"/>
  <c r="I29" i="1"/>
  <c r="I31" i="1"/>
  <c r="I33" i="1"/>
  <c r="I35" i="1"/>
  <c r="I37" i="1"/>
  <c r="I39" i="1"/>
  <c r="I43" i="1"/>
  <c r="I48" i="9"/>
  <c r="I8" i="10"/>
  <c r="I10" i="10"/>
  <c r="I14" i="10"/>
  <c r="I16" i="10"/>
  <c r="J16" i="10" s="1"/>
  <c r="I18" i="10"/>
  <c r="J18" i="10" s="1"/>
  <c r="I20" i="10"/>
  <c r="J20" i="10" s="1"/>
  <c r="I22" i="10"/>
  <c r="J22" i="10" s="1"/>
  <c r="I24" i="10"/>
  <c r="I26" i="10"/>
  <c r="J26" i="10" s="1"/>
  <c r="I28" i="10"/>
  <c r="I30" i="10"/>
  <c r="J30" i="10" s="1"/>
  <c r="I32" i="10"/>
  <c r="I34" i="10"/>
  <c r="J34" i="10" s="1"/>
  <c r="I36" i="10"/>
  <c r="J36" i="10" s="1"/>
  <c r="I38" i="10"/>
  <c r="J38" i="10" s="1"/>
  <c r="I42" i="10"/>
  <c r="J42" i="10" s="1"/>
  <c r="I44" i="10"/>
  <c r="J44" i="10" s="1"/>
  <c r="I48" i="10"/>
  <c r="I48" i="1"/>
  <c r="I50" i="1"/>
  <c r="I52" i="1"/>
  <c r="I54" i="1"/>
  <c r="I56" i="1"/>
  <c r="I58" i="1"/>
  <c r="I60" i="1"/>
  <c r="I62" i="1"/>
  <c r="I64" i="1"/>
  <c r="D9" i="1"/>
  <c r="D13" i="1"/>
  <c r="D15" i="1"/>
  <c r="D17" i="1"/>
  <c r="D19" i="1"/>
  <c r="D23" i="1"/>
  <c r="D25" i="1"/>
  <c r="D27" i="1"/>
  <c r="D29" i="1"/>
  <c r="D33" i="1"/>
  <c r="D43" i="1"/>
  <c r="D49" i="1"/>
  <c r="D51" i="1"/>
  <c r="D53" i="1"/>
  <c r="D55" i="1"/>
  <c r="D57" i="1"/>
  <c r="D61" i="1"/>
  <c r="D63" i="1"/>
  <c r="D65" i="1"/>
  <c r="I8" i="1"/>
  <c r="I10" i="1"/>
  <c r="I14" i="1"/>
  <c r="I16" i="1"/>
  <c r="I18" i="1"/>
  <c r="I20" i="1"/>
  <c r="I24" i="1"/>
  <c r="I26" i="1"/>
  <c r="I28" i="1"/>
  <c r="I30" i="1"/>
  <c r="I32" i="1"/>
  <c r="I34" i="1"/>
  <c r="I36" i="1"/>
  <c r="I38" i="1"/>
  <c r="I42" i="1"/>
  <c r="I44" i="1"/>
  <c r="I49" i="1"/>
  <c r="I51" i="1"/>
  <c r="I53" i="1"/>
  <c r="I55" i="1"/>
  <c r="I57" i="1"/>
  <c r="I59" i="1"/>
  <c r="I61" i="1"/>
  <c r="I63" i="1"/>
  <c r="I65" i="1"/>
  <c r="E32" i="10" l="1"/>
  <c r="G32" i="10" s="1"/>
  <c r="E31" i="10"/>
  <c r="E30" i="10"/>
  <c r="E29" i="10"/>
  <c r="Y203" i="18"/>
  <c r="X203" i="18"/>
  <c r="W203" i="18"/>
  <c r="V203" i="18"/>
  <c r="Y202" i="18"/>
  <c r="X202" i="18"/>
  <c r="W202" i="18"/>
  <c r="V202" i="18"/>
  <c r="Y201" i="18"/>
  <c r="X201" i="18"/>
  <c r="W201" i="18"/>
  <c r="V201" i="18"/>
  <c r="Y200" i="18"/>
  <c r="X200" i="18"/>
  <c r="W200" i="18"/>
  <c r="V200" i="18"/>
  <c r="Y199" i="18"/>
  <c r="X199" i="18"/>
  <c r="W199" i="18"/>
  <c r="V199" i="18"/>
  <c r="Y198" i="18"/>
  <c r="X198" i="18"/>
  <c r="W198" i="18"/>
  <c r="V198" i="18"/>
  <c r="Y197" i="18"/>
  <c r="X197" i="18"/>
  <c r="W197" i="18"/>
  <c r="V197" i="18"/>
  <c r="Y196" i="18"/>
  <c r="X196" i="18"/>
  <c r="W196" i="18"/>
  <c r="V196" i="18"/>
  <c r="Y195" i="18"/>
  <c r="X195" i="18"/>
  <c r="W195" i="18"/>
  <c r="V195" i="18"/>
  <c r="Y194" i="18"/>
  <c r="X194" i="18"/>
  <c r="W194" i="18"/>
  <c r="V194" i="18"/>
  <c r="Y193" i="18"/>
  <c r="X193" i="18"/>
  <c r="W193" i="18"/>
  <c r="V193" i="18"/>
  <c r="Y192" i="18"/>
  <c r="X192" i="18"/>
  <c r="W192" i="18"/>
  <c r="V192" i="18"/>
  <c r="Y191" i="18"/>
  <c r="X191" i="18"/>
  <c r="W191" i="18"/>
  <c r="V191" i="18"/>
  <c r="Y190" i="18"/>
  <c r="X190" i="18"/>
  <c r="W190" i="18"/>
  <c r="V190" i="18"/>
  <c r="Y188" i="18"/>
  <c r="X188" i="18"/>
  <c r="W188" i="18"/>
  <c r="V188" i="18"/>
  <c r="Y187" i="18"/>
  <c r="X187" i="18"/>
  <c r="W187" i="18"/>
  <c r="V187" i="18"/>
  <c r="Y186" i="18"/>
  <c r="X186" i="18"/>
  <c r="W186" i="18"/>
  <c r="V186" i="18"/>
  <c r="Y185" i="18"/>
  <c r="X185" i="18"/>
  <c r="W185" i="18"/>
  <c r="V185" i="18"/>
  <c r="Y184" i="18"/>
  <c r="X184" i="18"/>
  <c r="W184" i="18"/>
  <c r="V184" i="18"/>
  <c r="Y183" i="18"/>
  <c r="X183" i="18"/>
  <c r="W183" i="18"/>
  <c r="V183" i="18"/>
  <c r="Y182" i="18"/>
  <c r="X182" i="18"/>
  <c r="W182" i="18"/>
  <c r="V182" i="18"/>
  <c r="Y181" i="18"/>
  <c r="X181" i="18"/>
  <c r="W181" i="18"/>
  <c r="V181" i="18"/>
  <c r="Y180" i="18"/>
  <c r="X180" i="18"/>
  <c r="W180" i="18"/>
  <c r="V180" i="18"/>
  <c r="Y179" i="18"/>
  <c r="X179" i="18"/>
  <c r="W179" i="18"/>
  <c r="V179" i="18"/>
  <c r="Y178" i="18"/>
  <c r="X178" i="18"/>
  <c r="W178" i="18"/>
  <c r="V178" i="18"/>
  <c r="Y177" i="18"/>
  <c r="X177" i="18"/>
  <c r="W177" i="18"/>
  <c r="V177" i="18"/>
  <c r="Y176" i="18"/>
  <c r="X176" i="18"/>
  <c r="W176" i="18"/>
  <c r="V176" i="18"/>
  <c r="Y175" i="18"/>
  <c r="X175" i="18"/>
  <c r="W175" i="18"/>
  <c r="V175" i="18"/>
  <c r="Y174" i="18"/>
  <c r="X174" i="18"/>
  <c r="W174" i="18"/>
  <c r="V174" i="18"/>
  <c r="Y173" i="18"/>
  <c r="X173" i="18"/>
  <c r="W173" i="18"/>
  <c r="V173" i="18"/>
  <c r="Y172" i="18"/>
  <c r="X172" i="18"/>
  <c r="W172" i="18"/>
  <c r="V172" i="18"/>
  <c r="Y171" i="18"/>
  <c r="X171" i="18"/>
  <c r="W171" i="18"/>
  <c r="V171" i="18"/>
  <c r="Y170" i="18"/>
  <c r="X170" i="18"/>
  <c r="W170" i="18"/>
  <c r="V170" i="18"/>
  <c r="Y169" i="18"/>
  <c r="X169" i="18"/>
  <c r="W169" i="18"/>
  <c r="V169" i="18"/>
  <c r="Y168" i="18"/>
  <c r="X168" i="18"/>
  <c r="W168" i="18"/>
  <c r="V168" i="18"/>
  <c r="Y167" i="18"/>
  <c r="X167" i="18"/>
  <c r="W167" i="18"/>
  <c r="V167" i="18"/>
  <c r="Y166" i="18"/>
  <c r="X166" i="18"/>
  <c r="W166" i="18"/>
  <c r="V166" i="18"/>
  <c r="Y165" i="18"/>
  <c r="X165" i="18"/>
  <c r="W165" i="18"/>
  <c r="V165" i="18"/>
  <c r="Y164" i="18"/>
  <c r="X164" i="18"/>
  <c r="W164" i="18"/>
  <c r="V164" i="18"/>
  <c r="Y163" i="18"/>
  <c r="X163" i="18"/>
  <c r="W163" i="18"/>
  <c r="V163" i="18"/>
  <c r="Y162" i="18"/>
  <c r="X162" i="18"/>
  <c r="W162" i="18"/>
  <c r="V162" i="18"/>
  <c r="Y161" i="18"/>
  <c r="X161" i="18"/>
  <c r="W161" i="18"/>
  <c r="V161" i="18"/>
  <c r="Y160" i="18"/>
  <c r="X160" i="18"/>
  <c r="W160" i="18"/>
  <c r="V160" i="18"/>
  <c r="Y159" i="18"/>
  <c r="X159" i="18"/>
  <c r="W159" i="18"/>
  <c r="V159" i="18"/>
  <c r="Y158" i="18"/>
  <c r="X158" i="18"/>
  <c r="W158" i="18"/>
  <c r="V158" i="18"/>
  <c r="Y157" i="18"/>
  <c r="X157" i="18"/>
  <c r="W157" i="18"/>
  <c r="V157" i="18"/>
  <c r="Y156" i="18"/>
  <c r="X156" i="18"/>
  <c r="W156" i="18"/>
  <c r="V156" i="18"/>
  <c r="Y155" i="18"/>
  <c r="X155" i="18"/>
  <c r="W155" i="18"/>
  <c r="V155" i="18"/>
  <c r="Y154" i="18"/>
  <c r="X154" i="18"/>
  <c r="W154" i="18"/>
  <c r="V154" i="18"/>
  <c r="Y153" i="18"/>
  <c r="X153" i="18"/>
  <c r="W153" i="18"/>
  <c r="V153" i="18"/>
  <c r="Y152" i="18"/>
  <c r="X152" i="18"/>
  <c r="W152" i="18"/>
  <c r="V152" i="18"/>
  <c r="Y150" i="18"/>
  <c r="X150" i="18"/>
  <c r="W150" i="18"/>
  <c r="V150" i="18"/>
  <c r="Y149" i="18"/>
  <c r="X149" i="18"/>
  <c r="W149" i="18"/>
  <c r="V149" i="18"/>
  <c r="Y148" i="18"/>
  <c r="X148" i="18"/>
  <c r="W148" i="18"/>
  <c r="V148" i="18"/>
  <c r="Y147" i="18"/>
  <c r="X147" i="18"/>
  <c r="W147" i="18"/>
  <c r="V147" i="18"/>
  <c r="Y146" i="18"/>
  <c r="X146" i="18"/>
  <c r="W146" i="18"/>
  <c r="V146" i="18"/>
  <c r="Y145" i="18"/>
  <c r="X145" i="18"/>
  <c r="W145" i="18"/>
  <c r="V145" i="18"/>
  <c r="Y144" i="18"/>
  <c r="X144" i="18"/>
  <c r="W144" i="18"/>
  <c r="V144" i="18"/>
  <c r="Y143" i="18"/>
  <c r="X143" i="18"/>
  <c r="W143" i="18"/>
  <c r="V143" i="18"/>
  <c r="Y142" i="18"/>
  <c r="X142" i="18"/>
  <c r="W142" i="18"/>
  <c r="V142" i="18"/>
  <c r="Y141" i="18"/>
  <c r="X141" i="18"/>
  <c r="W141" i="18"/>
  <c r="V141" i="18"/>
  <c r="Y140" i="18"/>
  <c r="X140" i="18"/>
  <c r="W140" i="18"/>
  <c r="V140" i="18"/>
  <c r="Y139" i="18"/>
  <c r="X139" i="18"/>
  <c r="W139" i="18"/>
  <c r="V139" i="18"/>
  <c r="Y138" i="18"/>
  <c r="X138" i="18"/>
  <c r="W138" i="18"/>
  <c r="V138" i="18"/>
  <c r="Y137" i="18"/>
  <c r="X137" i="18"/>
  <c r="W137" i="18"/>
  <c r="V137" i="18"/>
  <c r="Y134" i="18"/>
  <c r="X134" i="18"/>
  <c r="W134" i="18"/>
  <c r="V134" i="18"/>
  <c r="Y133" i="18"/>
  <c r="X133" i="18"/>
  <c r="W133" i="18"/>
  <c r="V133" i="18"/>
  <c r="Y132" i="18"/>
  <c r="X132" i="18"/>
  <c r="W132" i="18"/>
  <c r="V132" i="18"/>
  <c r="Y131" i="18"/>
  <c r="X131" i="18"/>
  <c r="W131" i="18"/>
  <c r="V131" i="18"/>
  <c r="Y130" i="18"/>
  <c r="X130" i="18"/>
  <c r="W130" i="18"/>
  <c r="V130" i="18"/>
  <c r="Y129" i="18"/>
  <c r="X129" i="18"/>
  <c r="W129" i="18"/>
  <c r="V129" i="18"/>
  <c r="Y128" i="18"/>
  <c r="X128" i="18"/>
  <c r="W128" i="18"/>
  <c r="V128" i="18"/>
  <c r="Y127" i="18"/>
  <c r="X127" i="18"/>
  <c r="W127" i="18"/>
  <c r="V127" i="18"/>
  <c r="Y126" i="18"/>
  <c r="X126" i="18"/>
  <c r="W126" i="18"/>
  <c r="V126" i="18"/>
  <c r="Y125" i="18"/>
  <c r="X125" i="18"/>
  <c r="W125" i="18"/>
  <c r="V125" i="18"/>
  <c r="Y124" i="18"/>
  <c r="X124" i="18"/>
  <c r="W124" i="18"/>
  <c r="V124" i="18"/>
  <c r="Y123" i="18"/>
  <c r="X123" i="18"/>
  <c r="W123" i="18"/>
  <c r="V123" i="18"/>
  <c r="Y122" i="18"/>
  <c r="X122" i="18"/>
  <c r="W122" i="18"/>
  <c r="V122" i="18"/>
  <c r="Y121" i="18"/>
  <c r="X121" i="18"/>
  <c r="W121" i="18"/>
  <c r="V121" i="18"/>
  <c r="Y120" i="18"/>
  <c r="X120" i="18"/>
  <c r="W120" i="18"/>
  <c r="V120" i="18"/>
  <c r="Y119" i="18"/>
  <c r="X119" i="18"/>
  <c r="W119" i="18"/>
  <c r="V119" i="18"/>
  <c r="Y118" i="18"/>
  <c r="X118" i="18"/>
  <c r="W118" i="18"/>
  <c r="V118" i="18"/>
  <c r="Y117" i="18"/>
  <c r="X117" i="18"/>
  <c r="W117" i="18"/>
  <c r="V117" i="18"/>
  <c r="Y116" i="18"/>
  <c r="X116" i="18"/>
  <c r="W116" i="18"/>
  <c r="V116" i="18"/>
  <c r="Y115" i="18"/>
  <c r="X115" i="18"/>
  <c r="W115" i="18"/>
  <c r="V115" i="18"/>
  <c r="Y114" i="18"/>
  <c r="X114" i="18"/>
  <c r="W114" i="18"/>
  <c r="V114" i="18"/>
  <c r="Y113" i="18"/>
  <c r="X113" i="18"/>
  <c r="W113" i="18"/>
  <c r="V113" i="18"/>
  <c r="Y112" i="18"/>
  <c r="X112" i="18"/>
  <c r="W112" i="18"/>
  <c r="V112" i="18"/>
  <c r="Y111" i="18"/>
  <c r="X111" i="18"/>
  <c r="W111" i="18"/>
  <c r="V111" i="18"/>
  <c r="Y110" i="18"/>
  <c r="X110" i="18"/>
  <c r="W110" i="18"/>
  <c r="V110" i="18"/>
  <c r="Y109" i="18"/>
  <c r="X109" i="18"/>
  <c r="W109" i="18"/>
  <c r="V109" i="18"/>
  <c r="Y108" i="18"/>
  <c r="X108" i="18"/>
  <c r="W108" i="18"/>
  <c r="V108" i="18"/>
  <c r="Y107" i="18"/>
  <c r="X107" i="18"/>
  <c r="W107" i="18"/>
  <c r="V107" i="18"/>
  <c r="Y106" i="18"/>
  <c r="X106" i="18"/>
  <c r="W106" i="18"/>
  <c r="V106" i="18"/>
  <c r="Y105" i="18"/>
  <c r="X105" i="18"/>
  <c r="W105" i="18"/>
  <c r="V105" i="18"/>
  <c r="Y104" i="18"/>
  <c r="X104" i="18"/>
  <c r="W104" i="18"/>
  <c r="V104" i="18"/>
  <c r="Y103" i="18"/>
  <c r="X103" i="18"/>
  <c r="W103" i="18"/>
  <c r="V103" i="18"/>
  <c r="Y100" i="18"/>
  <c r="X100" i="18"/>
  <c r="W100" i="18"/>
  <c r="V100" i="18"/>
  <c r="Y99" i="18"/>
  <c r="X99" i="18"/>
  <c r="W99" i="18"/>
  <c r="V99" i="18"/>
  <c r="Y98" i="18"/>
  <c r="X98" i="18"/>
  <c r="W98" i="18"/>
  <c r="V98" i="18"/>
  <c r="Y95" i="18"/>
  <c r="X95" i="18"/>
  <c r="W95" i="18"/>
  <c r="V95" i="18"/>
  <c r="Y94" i="18"/>
  <c r="X94" i="18"/>
  <c r="W94" i="18"/>
  <c r="V94" i="18"/>
  <c r="Y93" i="18"/>
  <c r="X93" i="18"/>
  <c r="W93" i="18"/>
  <c r="V93" i="18"/>
  <c r="Y92" i="18"/>
  <c r="X92" i="18"/>
  <c r="W92" i="18"/>
  <c r="V92" i="18"/>
  <c r="Y91" i="18"/>
  <c r="X91" i="18"/>
  <c r="W91" i="18"/>
  <c r="V91" i="18"/>
  <c r="Y90" i="18"/>
  <c r="X90" i="18"/>
  <c r="W90" i="18"/>
  <c r="V90" i="18"/>
  <c r="Y89" i="18"/>
  <c r="X89" i="18"/>
  <c r="W89" i="18"/>
  <c r="V89" i="18"/>
  <c r="Y88" i="18"/>
  <c r="X88" i="18"/>
  <c r="W88" i="18"/>
  <c r="V88" i="18"/>
  <c r="Y87" i="18"/>
  <c r="X87" i="18"/>
  <c r="W87" i="18"/>
  <c r="V87" i="18"/>
  <c r="Y86" i="18"/>
  <c r="X86" i="18"/>
  <c r="W86" i="18"/>
  <c r="V86" i="18"/>
  <c r="Y83" i="18"/>
  <c r="X83" i="18"/>
  <c r="W83" i="18"/>
  <c r="V83" i="18"/>
  <c r="Y82" i="18"/>
  <c r="X82" i="18"/>
  <c r="W82" i="18"/>
  <c r="V82" i="18"/>
  <c r="Y81" i="18"/>
  <c r="X81" i="18"/>
  <c r="W81" i="18"/>
  <c r="V81" i="18"/>
  <c r="Y80" i="18"/>
  <c r="X80" i="18"/>
  <c r="W80" i="18"/>
  <c r="V80" i="18"/>
  <c r="Y79" i="18"/>
  <c r="X79" i="18"/>
  <c r="W79" i="18"/>
  <c r="V79" i="18"/>
  <c r="Y78" i="18"/>
  <c r="X78" i="18"/>
  <c r="W78" i="18"/>
  <c r="V78" i="18"/>
  <c r="Y77" i="18"/>
  <c r="X77" i="18"/>
  <c r="W77" i="18"/>
  <c r="V77" i="18"/>
  <c r="Y76" i="18"/>
  <c r="X76" i="18"/>
  <c r="W76" i="18"/>
  <c r="V76" i="18"/>
  <c r="Y73" i="18"/>
  <c r="X73" i="18"/>
  <c r="W73" i="18"/>
  <c r="V73" i="18"/>
  <c r="Y72" i="18"/>
  <c r="X72" i="18"/>
  <c r="W72" i="18"/>
  <c r="V72" i="18"/>
  <c r="Y71" i="18"/>
  <c r="X71" i="18"/>
  <c r="W71" i="18"/>
  <c r="V71" i="18"/>
  <c r="Y70" i="18"/>
  <c r="X70" i="18"/>
  <c r="W70" i="18"/>
  <c r="V70" i="18"/>
  <c r="Y69" i="18"/>
  <c r="X69" i="18"/>
  <c r="W69" i="18"/>
  <c r="V69" i="18"/>
  <c r="Y66" i="18"/>
  <c r="X66" i="18"/>
  <c r="W66" i="18"/>
  <c r="V66" i="18"/>
  <c r="Y65" i="18"/>
  <c r="X65" i="18"/>
  <c r="W65" i="18"/>
  <c r="V65" i="18"/>
  <c r="Y64" i="18"/>
  <c r="X64" i="18"/>
  <c r="W64" i="18"/>
  <c r="V64" i="18"/>
  <c r="Y63" i="18"/>
  <c r="X63" i="18"/>
  <c r="W63" i="18"/>
  <c r="V63" i="18"/>
  <c r="Y62" i="18"/>
  <c r="X62" i="18"/>
  <c r="W62" i="18"/>
  <c r="V62" i="18"/>
  <c r="Y61" i="18"/>
  <c r="X61" i="18"/>
  <c r="W61" i="18"/>
  <c r="V61" i="18"/>
  <c r="Y60" i="18"/>
  <c r="X60" i="18"/>
  <c r="W60" i="18"/>
  <c r="V60" i="18"/>
  <c r="Y59" i="18"/>
  <c r="X59" i="18"/>
  <c r="W59" i="18"/>
  <c r="V59" i="18"/>
  <c r="Y58" i="18"/>
  <c r="X58" i="18"/>
  <c r="W58" i="18"/>
  <c r="V58" i="18"/>
  <c r="Y57" i="18"/>
  <c r="X57" i="18"/>
  <c r="W57" i="18"/>
  <c r="V57" i="18"/>
  <c r="Y56" i="18"/>
  <c r="X56" i="18"/>
  <c r="W56" i="18"/>
  <c r="V56" i="18"/>
  <c r="Y55" i="18"/>
  <c r="X55" i="18"/>
  <c r="W55" i="18"/>
  <c r="V55" i="18"/>
  <c r="Y54" i="18"/>
  <c r="X54" i="18"/>
  <c r="W54" i="18"/>
  <c r="V54" i="18"/>
  <c r="Y53" i="18"/>
  <c r="X53" i="18"/>
  <c r="W53" i="18"/>
  <c r="V53" i="18"/>
  <c r="Y52" i="18"/>
  <c r="X52" i="18"/>
  <c r="W52" i="18"/>
  <c r="V52" i="18"/>
  <c r="Y51" i="18"/>
  <c r="X51" i="18"/>
  <c r="W51" i="18"/>
  <c r="V51" i="18"/>
  <c r="Y50" i="18"/>
  <c r="X50" i="18"/>
  <c r="W50" i="18"/>
  <c r="V50" i="18"/>
  <c r="Y49" i="18"/>
  <c r="X49" i="18"/>
  <c r="W49" i="18"/>
  <c r="V49" i="18"/>
  <c r="Y48" i="18"/>
  <c r="X48" i="18"/>
  <c r="W48" i="18"/>
  <c r="V48" i="18"/>
  <c r="Y47" i="18"/>
  <c r="X47" i="18"/>
  <c r="W47" i="18"/>
  <c r="V47" i="18"/>
  <c r="Y46" i="18"/>
  <c r="X46" i="18"/>
  <c r="W46" i="18"/>
  <c r="V46" i="18"/>
  <c r="Y45" i="18"/>
  <c r="X45" i="18"/>
  <c r="W45" i="18"/>
  <c r="V45" i="18"/>
  <c r="Y44" i="18"/>
  <c r="X44" i="18"/>
  <c r="W44" i="18"/>
  <c r="V44" i="18"/>
  <c r="Y43" i="18"/>
  <c r="X43" i="18"/>
  <c r="W43" i="18"/>
  <c r="V43" i="18"/>
  <c r="Y42" i="18"/>
  <c r="X42" i="18"/>
  <c r="W42" i="18"/>
  <c r="V42" i="18"/>
  <c r="Y41" i="18"/>
  <c r="X41" i="18"/>
  <c r="W41" i="18"/>
  <c r="V41" i="18"/>
  <c r="Y40" i="18"/>
  <c r="X40" i="18"/>
  <c r="W40" i="18"/>
  <c r="V40" i="18"/>
  <c r="Y39" i="18"/>
  <c r="X39" i="18"/>
  <c r="W39" i="18"/>
  <c r="V39" i="18"/>
  <c r="Y34" i="18"/>
  <c r="X34" i="18"/>
  <c r="W34" i="18"/>
  <c r="V34" i="18"/>
  <c r="Y33" i="18"/>
  <c r="X33" i="18"/>
  <c r="W33" i="18"/>
  <c r="V33" i="18"/>
  <c r="Y32" i="18"/>
  <c r="X32" i="18"/>
  <c r="W32" i="18"/>
  <c r="V32" i="18"/>
  <c r="Y31" i="18"/>
  <c r="X31" i="18"/>
  <c r="W31" i="18"/>
  <c r="V31" i="18"/>
  <c r="Y30" i="18"/>
  <c r="X30" i="18"/>
  <c r="W30" i="18"/>
  <c r="V30" i="18"/>
  <c r="Y29" i="18"/>
  <c r="X29" i="18"/>
  <c r="W29" i="18"/>
  <c r="V29" i="18"/>
  <c r="Y28" i="18"/>
  <c r="X28" i="18"/>
  <c r="W28" i="18"/>
  <c r="V28" i="18"/>
  <c r="Y27" i="18"/>
  <c r="X27" i="18"/>
  <c r="W27" i="18"/>
  <c r="V27" i="18"/>
  <c r="Y26" i="18"/>
  <c r="X26" i="18"/>
  <c r="W26" i="18"/>
  <c r="V26" i="18"/>
  <c r="Y25" i="18"/>
  <c r="X25" i="18"/>
  <c r="W25" i="18"/>
  <c r="V25" i="18"/>
  <c r="Y24" i="18"/>
  <c r="X24" i="18"/>
  <c r="W24" i="18"/>
  <c r="V24" i="18"/>
  <c r="Y23" i="18"/>
  <c r="X23" i="18"/>
  <c r="W23" i="18"/>
  <c r="V23" i="18"/>
  <c r="Y22" i="18"/>
  <c r="X22" i="18"/>
  <c r="W22" i="18"/>
  <c r="V22" i="18"/>
  <c r="Y21" i="18"/>
  <c r="X21" i="18"/>
  <c r="W21" i="18"/>
  <c r="V21" i="18"/>
  <c r="Y20" i="18"/>
  <c r="X20" i="18"/>
  <c r="W20" i="18"/>
  <c r="V20" i="18"/>
  <c r="Y19" i="18"/>
  <c r="X19" i="18"/>
  <c r="W19" i="18"/>
  <c r="V19" i="18"/>
  <c r="Y18" i="18"/>
  <c r="X18" i="18"/>
  <c r="W18" i="18"/>
  <c r="V18" i="18"/>
  <c r="Y17" i="18"/>
  <c r="X17" i="18"/>
  <c r="W17" i="18"/>
  <c r="V17" i="18"/>
  <c r="Y16" i="18"/>
  <c r="X16" i="18"/>
  <c r="W16" i="18"/>
  <c r="V16" i="18"/>
  <c r="Y15" i="18"/>
  <c r="X15" i="18"/>
  <c r="W15" i="18"/>
  <c r="V15" i="18"/>
  <c r="Y14" i="18"/>
  <c r="X14" i="18"/>
  <c r="W14" i="18"/>
  <c r="V14" i="18"/>
  <c r="Y13" i="18"/>
  <c r="X13" i="18"/>
  <c r="W13" i="18"/>
  <c r="V13" i="18"/>
  <c r="Y12" i="18"/>
  <c r="X12" i="18"/>
  <c r="W12" i="18"/>
  <c r="V12" i="18"/>
  <c r="J32" i="28" l="1"/>
  <c r="I32" i="28"/>
  <c r="H32" i="28"/>
  <c r="G32" i="28"/>
  <c r="F32" i="28"/>
  <c r="E32" i="28"/>
  <c r="D32" i="28"/>
  <c r="C32" i="28"/>
  <c r="J31" i="28"/>
  <c r="I31" i="28"/>
  <c r="H31" i="28"/>
  <c r="G31" i="28"/>
  <c r="F31" i="28"/>
  <c r="E31" i="28"/>
  <c r="D31" i="28"/>
  <c r="C31" i="28"/>
  <c r="F39" i="27"/>
  <c r="E39" i="27"/>
  <c r="C39" i="27"/>
  <c r="B39" i="27"/>
  <c r="G38" i="27"/>
  <c r="D38" i="27"/>
  <c r="G37" i="27"/>
  <c r="D37" i="27"/>
  <c r="G36" i="27"/>
  <c r="D36" i="27"/>
  <c r="G35" i="27"/>
  <c r="D35" i="27"/>
  <c r="G34" i="27"/>
  <c r="D34" i="27"/>
  <c r="G33" i="27"/>
  <c r="D33" i="27"/>
  <c r="G32" i="27"/>
  <c r="D32" i="27"/>
  <c r="G31" i="27"/>
  <c r="D31" i="27"/>
  <c r="G30" i="27"/>
  <c r="D30" i="27"/>
  <c r="G29" i="27"/>
  <c r="D29" i="27"/>
  <c r="G28" i="27"/>
  <c r="D28" i="27"/>
  <c r="G27" i="27"/>
  <c r="D27" i="27"/>
  <c r="F19" i="27"/>
  <c r="C19" i="27"/>
  <c r="G18" i="27"/>
  <c r="D18" i="27"/>
  <c r="G17" i="27"/>
  <c r="D17" i="27"/>
  <c r="G16" i="27"/>
  <c r="D16" i="27"/>
  <c r="G14" i="27"/>
  <c r="D14" i="27"/>
  <c r="G13" i="27"/>
  <c r="D13" i="27"/>
  <c r="G12" i="27"/>
  <c r="D12" i="27"/>
  <c r="G11" i="27"/>
  <c r="D11" i="27"/>
  <c r="D10" i="27"/>
  <c r="G9" i="27"/>
  <c r="D9" i="27"/>
  <c r="G8" i="27"/>
  <c r="D8" i="27"/>
  <c r="D7" i="27"/>
  <c r="F40" i="26"/>
  <c r="E40" i="26"/>
  <c r="C40" i="26"/>
  <c r="B40" i="26"/>
  <c r="G28" i="26"/>
  <c r="D28" i="26"/>
  <c r="F19" i="26"/>
  <c r="E19" i="26"/>
  <c r="C19" i="26"/>
  <c r="B19" i="26"/>
  <c r="G7" i="26"/>
  <c r="D7" i="26"/>
  <c r="G40" i="26" l="1"/>
  <c r="D19" i="26"/>
  <c r="D40" i="26"/>
  <c r="G10" i="27"/>
  <c r="E19" i="27"/>
  <c r="G19" i="26"/>
  <c r="B31" i="28"/>
  <c r="D39" i="27"/>
  <c r="G39" i="27"/>
  <c r="B32" i="28"/>
  <c r="G7" i="27"/>
  <c r="H20" i="1" l="1"/>
  <c r="H23" i="11" l="1"/>
  <c r="H33" i="11"/>
  <c r="H37" i="11"/>
  <c r="H45" i="11"/>
  <c r="H60" i="11"/>
  <c r="H24" i="11"/>
  <c r="H34" i="11"/>
  <c r="H38" i="11"/>
  <c r="H46" i="11"/>
  <c r="H22" i="11"/>
  <c r="H31" i="11"/>
  <c r="H40" i="11"/>
  <c r="H59" i="11"/>
  <c r="H30" i="11"/>
  <c r="H35" i="11"/>
  <c r="H39" i="11"/>
  <c r="H51" i="11"/>
  <c r="H36" i="11"/>
  <c r="F21" i="11"/>
  <c r="F30" i="11"/>
  <c r="F35" i="11"/>
  <c r="F39" i="11"/>
  <c r="F50" i="11"/>
  <c r="F22" i="11"/>
  <c r="F31" i="11"/>
  <c r="F36" i="11"/>
  <c r="F40" i="11"/>
  <c r="F51" i="11"/>
  <c r="F24" i="11"/>
  <c r="F34" i="11"/>
  <c r="F38" i="11"/>
  <c r="F46" i="11"/>
  <c r="F23" i="11"/>
  <c r="F33" i="11"/>
  <c r="F37" i="11"/>
  <c r="F45" i="11"/>
  <c r="F60" i="11"/>
  <c r="H42" i="9"/>
  <c r="X68" i="18" l="1"/>
  <c r="Y68" i="18"/>
  <c r="Y97" i="18"/>
  <c r="Y136" i="18"/>
  <c r="B7" i="25"/>
  <c r="D7" i="25" s="1"/>
  <c r="E7" i="25"/>
  <c r="G7" i="25" s="1"/>
  <c r="B10" i="25"/>
  <c r="D10" i="25" s="1"/>
  <c r="E10" i="25"/>
  <c r="G10" i="25" s="1"/>
  <c r="B42" i="25"/>
  <c r="D42" i="25" s="1"/>
  <c r="E42" i="25"/>
  <c r="G42" i="25" s="1"/>
  <c r="B60" i="25"/>
  <c r="D60" i="25" s="1"/>
  <c r="E60" i="25"/>
  <c r="G60" i="25" s="1"/>
  <c r="B63" i="25"/>
  <c r="D63" i="25" s="1"/>
  <c r="E63" i="25"/>
  <c r="G63" i="25" s="1"/>
  <c r="B7" i="23"/>
  <c r="D7" i="23" s="1"/>
  <c r="B10" i="23"/>
  <c r="D10" i="23" s="1"/>
  <c r="E10" i="23"/>
  <c r="G10" i="23" s="1"/>
  <c r="B16" i="23"/>
  <c r="D16" i="23" s="1"/>
  <c r="B42" i="23"/>
  <c r="D42" i="23" s="1"/>
  <c r="E42" i="23"/>
  <c r="G42" i="23" s="1"/>
  <c r="B60" i="23"/>
  <c r="D60" i="23" s="1"/>
  <c r="E60" i="23"/>
  <c r="G60" i="23" s="1"/>
  <c r="E63" i="23"/>
  <c r="G63" i="23" s="1"/>
  <c r="B13" i="23"/>
  <c r="D13" i="23" s="1"/>
  <c r="E13" i="23"/>
  <c r="E16" i="23"/>
  <c r="B19" i="23"/>
  <c r="D19" i="23" s="1"/>
  <c r="E19" i="23"/>
  <c r="B19" i="25"/>
  <c r="D19" i="25" s="1"/>
  <c r="E19" i="25"/>
  <c r="F65" i="22"/>
  <c r="E20" i="22"/>
  <c r="B22" i="23"/>
  <c r="D22" i="23" s="1"/>
  <c r="E22" i="23"/>
  <c r="G22" i="23" s="1"/>
  <c r="B22" i="25"/>
  <c r="D22" i="25" s="1"/>
  <c r="E22" i="25"/>
  <c r="B24" i="23"/>
  <c r="D24" i="23" s="1"/>
  <c r="E24" i="23"/>
  <c r="B24" i="25"/>
  <c r="E24" i="25"/>
  <c r="G24" i="25" s="1"/>
  <c r="B27" i="23"/>
  <c r="E27" i="23"/>
  <c r="B27" i="25"/>
  <c r="E27" i="25"/>
  <c r="B29" i="23"/>
  <c r="D29" i="23" s="1"/>
  <c r="E29" i="23"/>
  <c r="G29" i="23" s="1"/>
  <c r="B29" i="25"/>
  <c r="E29" i="25"/>
  <c r="B32" i="23"/>
  <c r="D32" i="23" s="1"/>
  <c r="E32" i="23"/>
  <c r="G32" i="23" s="1"/>
  <c r="B32" i="25"/>
  <c r="E32" i="25"/>
  <c r="G32" i="25" s="1"/>
  <c r="B35" i="23"/>
  <c r="D35" i="23" s="1"/>
  <c r="E35" i="23"/>
  <c r="B35" i="25"/>
  <c r="E35" i="25"/>
  <c r="G35" i="25" s="1"/>
  <c r="B37" i="23"/>
  <c r="D37" i="23" s="1"/>
  <c r="E37" i="23"/>
  <c r="B37" i="25"/>
  <c r="D37" i="25" s="1"/>
  <c r="E37" i="25"/>
  <c r="B39" i="23"/>
  <c r="D39" i="23" s="1"/>
  <c r="E39" i="23"/>
  <c r="G39" i="23" s="1"/>
  <c r="B39" i="25"/>
  <c r="E39" i="25"/>
  <c r="B45" i="23"/>
  <c r="D45" i="23" s="1"/>
  <c r="E45" i="23"/>
  <c r="B45" i="25"/>
  <c r="E45" i="25"/>
  <c r="G45" i="25" s="1"/>
  <c r="B48" i="23"/>
  <c r="E48" i="23"/>
  <c r="B48" i="25"/>
  <c r="E48" i="25"/>
  <c r="B50" i="23"/>
  <c r="D50" i="23" s="1"/>
  <c r="E50" i="23"/>
  <c r="G50" i="23" s="1"/>
  <c r="B50" i="25"/>
  <c r="D50" i="25" s="1"/>
  <c r="E50" i="25"/>
  <c r="G50" i="25" s="1"/>
  <c r="B52" i="23"/>
  <c r="D52" i="23" s="1"/>
  <c r="E52" i="23"/>
  <c r="B52" i="25"/>
  <c r="D52" i="25" s="1"/>
  <c r="E52" i="25"/>
  <c r="G52" i="25" s="1"/>
  <c r="B55" i="23"/>
  <c r="D55" i="23" s="1"/>
  <c r="E55" i="23"/>
  <c r="G55" i="23" s="1"/>
  <c r="B55" i="25"/>
  <c r="D55" i="25" s="1"/>
  <c r="E55" i="25"/>
  <c r="B58" i="23"/>
  <c r="D58" i="23" s="1"/>
  <c r="E58" i="23"/>
  <c r="G58" i="23" s="1"/>
  <c r="B58" i="25"/>
  <c r="E58" i="25"/>
  <c r="C47" i="5"/>
  <c r="B47" i="5"/>
  <c r="E47" i="1"/>
  <c r="C47" i="1"/>
  <c r="B47" i="1"/>
  <c r="E64" i="12"/>
  <c r="G64" i="12" s="1"/>
  <c r="B49" i="12"/>
  <c r="D49" i="12" s="1"/>
  <c r="E49" i="12"/>
  <c r="G49" i="12" s="1"/>
  <c r="B48" i="10"/>
  <c r="D48" i="10" s="1"/>
  <c r="E48" i="10"/>
  <c r="G48" i="10" s="1"/>
  <c r="B45" i="10"/>
  <c r="H45" i="10" s="1"/>
  <c r="B44" i="10"/>
  <c r="H44" i="10" s="1"/>
  <c r="B43" i="10"/>
  <c r="H43" i="10" s="1"/>
  <c r="B42" i="10"/>
  <c r="H42" i="10" s="1"/>
  <c r="B49" i="2"/>
  <c r="H49" i="2" l="1"/>
  <c r="J49" i="2" s="1"/>
  <c r="D49" i="2"/>
  <c r="D47" i="1"/>
  <c r="H48" i="10"/>
  <c r="J48" i="10" s="1"/>
  <c r="H49" i="12"/>
  <c r="J49" i="12" s="1"/>
  <c r="D47" i="5"/>
  <c r="E47" i="9"/>
  <c r="C48" i="11"/>
  <c r="G19" i="25"/>
  <c r="X38" i="18"/>
  <c r="G47" i="1"/>
  <c r="I47" i="1" s="1"/>
  <c r="B47" i="9"/>
  <c r="G47" i="9"/>
  <c r="E48" i="11"/>
  <c r="E47" i="5"/>
  <c r="G47" i="5"/>
  <c r="C47" i="9"/>
  <c r="G48" i="11"/>
  <c r="D45" i="25"/>
  <c r="D35" i="25"/>
  <c r="G13" i="23"/>
  <c r="Y38" i="18"/>
  <c r="Y189" i="18"/>
  <c r="G37" i="23"/>
  <c r="Y11" i="18"/>
  <c r="Y151" i="18"/>
  <c r="D32" i="25"/>
  <c r="D24" i="25"/>
  <c r="G16" i="23"/>
  <c r="B48" i="2"/>
  <c r="B48" i="11"/>
  <c r="G52" i="23"/>
  <c r="G37" i="25"/>
  <c r="G35" i="23"/>
  <c r="G29" i="25"/>
  <c r="X85" i="18"/>
  <c r="Y102" i="18"/>
  <c r="Y85" i="18"/>
  <c r="Y75" i="18"/>
  <c r="X189" i="18"/>
  <c r="X151" i="18"/>
  <c r="X136" i="18"/>
  <c r="X102" i="18"/>
  <c r="X97" i="18"/>
  <c r="X75" i="18"/>
  <c r="X11" i="18"/>
  <c r="G58" i="25"/>
  <c r="G39" i="25"/>
  <c r="C65" i="22"/>
  <c r="G22" i="25"/>
  <c r="D58" i="25"/>
  <c r="D39" i="25"/>
  <c r="G19" i="23"/>
  <c r="G24" i="23"/>
  <c r="G55" i="25"/>
  <c r="G45" i="23"/>
  <c r="D29" i="25"/>
  <c r="D65" i="22"/>
  <c r="J65" i="22"/>
  <c r="G13" i="25"/>
  <c r="D13" i="25"/>
  <c r="M65" i="22"/>
  <c r="L65" i="22"/>
  <c r="I65" i="22"/>
  <c r="B16" i="25"/>
  <c r="D16" i="25" s="1"/>
  <c r="B65" i="23"/>
  <c r="G65" i="22"/>
  <c r="E16" i="25"/>
  <c r="G16" i="25" s="1"/>
  <c r="E65" i="23"/>
  <c r="G65" i="23" s="1"/>
  <c r="H48" i="5"/>
  <c r="H48" i="1"/>
  <c r="F48" i="1"/>
  <c r="H48" i="9"/>
  <c r="F48" i="9"/>
  <c r="H48" i="2" l="1"/>
  <c r="J48" i="2" s="1"/>
  <c r="D48" i="2"/>
  <c r="D48" i="11"/>
  <c r="D65" i="23"/>
  <c r="I47" i="5"/>
  <c r="I48" i="12"/>
  <c r="D47" i="9"/>
  <c r="I48" i="11"/>
  <c r="I47" i="10"/>
  <c r="I47" i="9"/>
  <c r="Y36" i="18"/>
  <c r="Y9" i="18" s="1"/>
  <c r="X36" i="18"/>
  <c r="X9" i="18" s="1"/>
  <c r="E65" i="25"/>
  <c r="G65" i="25" s="1"/>
  <c r="B65" i="25"/>
  <c r="D65" i="25" s="1"/>
  <c r="F20" i="11"/>
  <c r="F68" i="9" l="1"/>
  <c r="F13" i="9"/>
  <c r="F8" i="9"/>
  <c r="F9" i="9"/>
  <c r="F10" i="9"/>
  <c r="H9" i="11" l="1"/>
  <c r="H10" i="11"/>
  <c r="H11" i="11"/>
  <c r="F64" i="11"/>
  <c r="F62" i="11"/>
  <c r="F61" i="11"/>
  <c r="F59" i="11"/>
  <c r="F58" i="11"/>
  <c r="F57" i="11"/>
  <c r="F56" i="11"/>
  <c r="F55" i="11"/>
  <c r="F54" i="11"/>
  <c r="F53" i="11"/>
  <c r="F52" i="11"/>
  <c r="F44" i="11"/>
  <c r="F43" i="11"/>
  <c r="F32" i="11"/>
  <c r="F29" i="11"/>
  <c r="F28" i="11"/>
  <c r="F27" i="11"/>
  <c r="F26" i="11"/>
  <c r="F25" i="11"/>
  <c r="F19" i="11"/>
  <c r="F18" i="11"/>
  <c r="F17" i="11"/>
  <c r="F16" i="11"/>
  <c r="F15" i="11"/>
  <c r="F14" i="11"/>
  <c r="F11" i="11"/>
  <c r="F10" i="11"/>
  <c r="F9" i="11"/>
  <c r="G42" i="11" l="1"/>
  <c r="H9" i="9"/>
  <c r="H10" i="9"/>
  <c r="H8" i="5"/>
  <c r="H9" i="5"/>
  <c r="H10" i="5"/>
  <c r="D66" i="5"/>
  <c r="B8" i="2"/>
  <c r="B9" i="2"/>
  <c r="B10" i="2"/>
  <c r="H13" i="1"/>
  <c r="H14" i="1"/>
  <c r="H15" i="1"/>
  <c r="H16" i="1"/>
  <c r="H17" i="1"/>
  <c r="H18" i="1"/>
  <c r="H19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8" i="1"/>
  <c r="H9" i="1"/>
  <c r="H10" i="1"/>
  <c r="F38" i="1"/>
  <c r="F56" i="1"/>
  <c r="F57" i="1"/>
  <c r="D10" i="2" l="1"/>
  <c r="H10" i="2"/>
  <c r="J10" i="2" s="1"/>
  <c r="H9" i="2"/>
  <c r="J9" i="2" s="1"/>
  <c r="D9" i="2"/>
  <c r="H8" i="2"/>
  <c r="J8" i="2" s="1"/>
  <c r="D8" i="2"/>
  <c r="H14" i="11"/>
  <c r="H62" i="11" l="1"/>
  <c r="H61" i="11"/>
  <c r="H58" i="11"/>
  <c r="H57" i="11"/>
  <c r="H21" i="11"/>
  <c r="E10" i="12"/>
  <c r="G10" i="12" s="1"/>
  <c r="E11" i="12"/>
  <c r="G11" i="12" s="1"/>
  <c r="E51" i="12"/>
  <c r="G51" i="12" s="1"/>
  <c r="E52" i="12"/>
  <c r="G52" i="12" s="1"/>
  <c r="E53" i="12"/>
  <c r="G53" i="12" s="1"/>
  <c r="E54" i="12"/>
  <c r="G54" i="12" s="1"/>
  <c r="E55" i="12"/>
  <c r="G55" i="12" s="1"/>
  <c r="E56" i="12"/>
  <c r="G56" i="12" s="1"/>
  <c r="E57" i="12"/>
  <c r="G57" i="12" s="1"/>
  <c r="E58" i="12"/>
  <c r="G58" i="12" s="1"/>
  <c r="E59" i="12"/>
  <c r="G59" i="12" s="1"/>
  <c r="E60" i="12"/>
  <c r="E61" i="12"/>
  <c r="G61" i="12" s="1"/>
  <c r="E62" i="12"/>
  <c r="G62" i="12" s="1"/>
  <c r="E50" i="12"/>
  <c r="G50" i="12" s="1"/>
  <c r="E44" i="12"/>
  <c r="G44" i="12" s="1"/>
  <c r="E45" i="12"/>
  <c r="E46" i="12"/>
  <c r="E43" i="12"/>
  <c r="G43" i="12" s="1"/>
  <c r="E40" i="12"/>
  <c r="E15" i="12"/>
  <c r="G15" i="12" s="1"/>
  <c r="E16" i="12"/>
  <c r="G16" i="12" s="1"/>
  <c r="E17" i="12"/>
  <c r="G17" i="12" s="1"/>
  <c r="E18" i="12"/>
  <c r="G18" i="12" s="1"/>
  <c r="E19" i="12"/>
  <c r="G19" i="12" s="1"/>
  <c r="E20" i="12"/>
  <c r="G20" i="12" s="1"/>
  <c r="E21" i="12"/>
  <c r="E22" i="12"/>
  <c r="G22" i="12" s="1"/>
  <c r="E23" i="12"/>
  <c r="G23" i="12" s="1"/>
  <c r="E24" i="12"/>
  <c r="G24" i="12" s="1"/>
  <c r="E25" i="12"/>
  <c r="G25" i="12" s="1"/>
  <c r="E26" i="12"/>
  <c r="G26" i="12" s="1"/>
  <c r="E27" i="12"/>
  <c r="G27" i="12" s="1"/>
  <c r="E28" i="12"/>
  <c r="G28" i="12" s="1"/>
  <c r="E29" i="12"/>
  <c r="G29" i="12" s="1"/>
  <c r="E30" i="12"/>
  <c r="G30" i="12" s="1"/>
  <c r="E31" i="12"/>
  <c r="G31" i="12" s="1"/>
  <c r="E32" i="12"/>
  <c r="G32" i="12" s="1"/>
  <c r="E33" i="12"/>
  <c r="E34" i="12"/>
  <c r="G34" i="12" s="1"/>
  <c r="E35" i="12"/>
  <c r="G35" i="12" s="1"/>
  <c r="E36" i="12"/>
  <c r="E37" i="12"/>
  <c r="E38" i="12"/>
  <c r="E39" i="12"/>
  <c r="E14" i="12"/>
  <c r="G14" i="12" s="1"/>
  <c r="E9" i="12"/>
  <c r="G9" i="12" s="1"/>
  <c r="B64" i="12"/>
  <c r="D64" i="12" s="1"/>
  <c r="B51" i="12"/>
  <c r="B52" i="12"/>
  <c r="D52" i="12" s="1"/>
  <c r="B53" i="12"/>
  <c r="D53" i="12" s="1"/>
  <c r="B54" i="12"/>
  <c r="D54" i="12" s="1"/>
  <c r="B55" i="12"/>
  <c r="D55" i="12" s="1"/>
  <c r="B56" i="12"/>
  <c r="D56" i="12" s="1"/>
  <c r="B57" i="12"/>
  <c r="D57" i="12" s="1"/>
  <c r="B58" i="12"/>
  <c r="D58" i="12" s="1"/>
  <c r="B59" i="12"/>
  <c r="D59" i="12" s="1"/>
  <c r="B60" i="12"/>
  <c r="H60" i="12" s="1"/>
  <c r="B61" i="12"/>
  <c r="D61" i="12" s="1"/>
  <c r="B62" i="12"/>
  <c r="D62" i="12" s="1"/>
  <c r="B50" i="12"/>
  <c r="D50" i="12" s="1"/>
  <c r="B44" i="12"/>
  <c r="D44" i="12" s="1"/>
  <c r="B45" i="12"/>
  <c r="B46" i="12"/>
  <c r="H46" i="12" s="1"/>
  <c r="B43" i="12"/>
  <c r="D43" i="12" s="1"/>
  <c r="B15" i="12"/>
  <c r="D15" i="12" s="1"/>
  <c r="B16" i="12"/>
  <c r="D16" i="12" s="1"/>
  <c r="B17" i="12"/>
  <c r="D17" i="12" s="1"/>
  <c r="B18" i="12"/>
  <c r="D18" i="12" s="1"/>
  <c r="B19" i="12"/>
  <c r="D19" i="12" s="1"/>
  <c r="B20" i="12"/>
  <c r="D20" i="12" s="1"/>
  <c r="B21" i="12"/>
  <c r="B22" i="12"/>
  <c r="D22" i="12" s="1"/>
  <c r="B23" i="12"/>
  <c r="D23" i="12" s="1"/>
  <c r="B24" i="12"/>
  <c r="D24" i="12" s="1"/>
  <c r="B25" i="12"/>
  <c r="D25" i="12" s="1"/>
  <c r="B26" i="12"/>
  <c r="D26" i="12" s="1"/>
  <c r="B27" i="12"/>
  <c r="D27" i="12" s="1"/>
  <c r="B28" i="12"/>
  <c r="D28" i="12" s="1"/>
  <c r="B29" i="12"/>
  <c r="D29" i="12" s="1"/>
  <c r="B30" i="12"/>
  <c r="D30" i="12" s="1"/>
  <c r="B31" i="12"/>
  <c r="D31" i="12" s="1"/>
  <c r="B32" i="12"/>
  <c r="D32" i="12" s="1"/>
  <c r="B33" i="12"/>
  <c r="H33" i="12" s="1"/>
  <c r="B34" i="12"/>
  <c r="D34" i="12" s="1"/>
  <c r="B35" i="12"/>
  <c r="D35" i="12" s="1"/>
  <c r="B36" i="12"/>
  <c r="H36" i="12" s="1"/>
  <c r="B37" i="12"/>
  <c r="H37" i="12" s="1"/>
  <c r="B38" i="12"/>
  <c r="H38" i="12" s="1"/>
  <c r="B39" i="12"/>
  <c r="H39" i="12" s="1"/>
  <c r="B40" i="12"/>
  <c r="H40" i="12" s="1"/>
  <c r="B14" i="12"/>
  <c r="D14" i="12" s="1"/>
  <c r="B10" i="12"/>
  <c r="D10" i="12" s="1"/>
  <c r="B11" i="12"/>
  <c r="D11" i="12" s="1"/>
  <c r="B9" i="12"/>
  <c r="D9" i="12" s="1"/>
  <c r="D64" i="11"/>
  <c r="H51" i="12" l="1"/>
  <c r="J51" i="12" s="1"/>
  <c r="D51" i="12"/>
  <c r="H45" i="12"/>
  <c r="H34" i="12"/>
  <c r="J34" i="12" s="1"/>
  <c r="H31" i="12"/>
  <c r="J31" i="12" s="1"/>
  <c r="H32" i="12"/>
  <c r="J32" i="12" s="1"/>
  <c r="H20" i="12"/>
  <c r="J20" i="12" s="1"/>
  <c r="H16" i="12"/>
  <c r="J16" i="12" s="1"/>
  <c r="H61" i="12"/>
  <c r="J61" i="12" s="1"/>
  <c r="H57" i="12"/>
  <c r="J57" i="12" s="1"/>
  <c r="H53" i="12"/>
  <c r="J53" i="12" s="1"/>
  <c r="H9" i="12"/>
  <c r="J9" i="12" s="1"/>
  <c r="H24" i="12"/>
  <c r="J24" i="12" s="1"/>
  <c r="H11" i="12"/>
  <c r="J11" i="12" s="1"/>
  <c r="H35" i="12"/>
  <c r="J35" i="12" s="1"/>
  <c r="H27" i="12"/>
  <c r="J27" i="12" s="1"/>
  <c r="H23" i="12"/>
  <c r="J23" i="12" s="1"/>
  <c r="H19" i="12"/>
  <c r="J19" i="12" s="1"/>
  <c r="H15" i="12"/>
  <c r="J15" i="12" s="1"/>
  <c r="H44" i="12"/>
  <c r="J44" i="12" s="1"/>
  <c r="H56" i="12"/>
  <c r="J56" i="12" s="1"/>
  <c r="H52" i="12"/>
  <c r="J52" i="12" s="1"/>
  <c r="H30" i="12"/>
  <c r="J30" i="12" s="1"/>
  <c r="H22" i="12"/>
  <c r="J22" i="12" s="1"/>
  <c r="H18" i="12"/>
  <c r="J18" i="12" s="1"/>
  <c r="H43" i="12"/>
  <c r="J43" i="12" s="1"/>
  <c r="H50" i="12"/>
  <c r="J50" i="12" s="1"/>
  <c r="H59" i="12"/>
  <c r="J59" i="12" s="1"/>
  <c r="H55" i="12"/>
  <c r="J55" i="12" s="1"/>
  <c r="H28" i="12"/>
  <c r="J28" i="12" s="1"/>
  <c r="H10" i="12"/>
  <c r="J10" i="12" s="1"/>
  <c r="H26" i="12"/>
  <c r="J26" i="12" s="1"/>
  <c r="H14" i="12"/>
  <c r="J14" i="12" s="1"/>
  <c r="H29" i="12"/>
  <c r="J29" i="12" s="1"/>
  <c r="H25" i="12"/>
  <c r="J25" i="12" s="1"/>
  <c r="H21" i="12"/>
  <c r="H17" i="12"/>
  <c r="J17" i="12" s="1"/>
  <c r="H62" i="12"/>
  <c r="J62" i="12" s="1"/>
  <c r="H58" i="12"/>
  <c r="J58" i="12" s="1"/>
  <c r="H54" i="12"/>
  <c r="J54" i="12" s="1"/>
  <c r="E48" i="12"/>
  <c r="G48" i="12" s="1"/>
  <c r="B48" i="12"/>
  <c r="D48" i="12" s="1"/>
  <c r="H64" i="12"/>
  <c r="J64" i="12" s="1"/>
  <c r="I68" i="10"/>
  <c r="E14" i="10"/>
  <c r="G14" i="10" s="1"/>
  <c r="E15" i="10"/>
  <c r="G15" i="10" s="1"/>
  <c r="E16" i="10"/>
  <c r="E17" i="10"/>
  <c r="G17" i="10" s="1"/>
  <c r="E18" i="10"/>
  <c r="E19" i="10"/>
  <c r="E20" i="10"/>
  <c r="E21" i="10"/>
  <c r="E22" i="10"/>
  <c r="E23" i="10"/>
  <c r="E24" i="10"/>
  <c r="G24" i="10" s="1"/>
  <c r="E25" i="10"/>
  <c r="E26" i="10"/>
  <c r="E27" i="10"/>
  <c r="E28" i="10"/>
  <c r="G28" i="10" s="1"/>
  <c r="E33" i="10"/>
  <c r="E34" i="10"/>
  <c r="E35" i="10"/>
  <c r="E36" i="10"/>
  <c r="E37" i="10"/>
  <c r="G37" i="10" s="1"/>
  <c r="E38" i="10"/>
  <c r="E39" i="10"/>
  <c r="E13" i="10"/>
  <c r="G13" i="10" s="1"/>
  <c r="E9" i="10"/>
  <c r="G9" i="10" s="1"/>
  <c r="E10" i="10"/>
  <c r="G10" i="10" s="1"/>
  <c r="E8" i="10"/>
  <c r="G8" i="10" s="1"/>
  <c r="B68" i="10"/>
  <c r="D68" i="10" s="1"/>
  <c r="B14" i="10"/>
  <c r="D14" i="10" s="1"/>
  <c r="B15" i="10"/>
  <c r="B16" i="10"/>
  <c r="H16" i="10" s="1"/>
  <c r="B17" i="10"/>
  <c r="D17" i="10" s="1"/>
  <c r="B18" i="10"/>
  <c r="H18" i="10" s="1"/>
  <c r="B19" i="10"/>
  <c r="H19" i="10" s="1"/>
  <c r="B20" i="10"/>
  <c r="H20" i="10" s="1"/>
  <c r="B21" i="10"/>
  <c r="H21" i="10" s="1"/>
  <c r="B22" i="10"/>
  <c r="H22" i="10" s="1"/>
  <c r="B23" i="10"/>
  <c r="H23" i="10" s="1"/>
  <c r="B24" i="10"/>
  <c r="D24" i="10" s="1"/>
  <c r="B25" i="10"/>
  <c r="H25" i="10" s="1"/>
  <c r="B26" i="10"/>
  <c r="H26" i="10" s="1"/>
  <c r="B27" i="10"/>
  <c r="H27" i="10" s="1"/>
  <c r="B28" i="10"/>
  <c r="D28" i="10" s="1"/>
  <c r="B29" i="10"/>
  <c r="H29" i="10" s="1"/>
  <c r="B30" i="10"/>
  <c r="H30" i="10" s="1"/>
  <c r="B31" i="10"/>
  <c r="H31" i="10" s="1"/>
  <c r="B32" i="10"/>
  <c r="D32" i="10" s="1"/>
  <c r="B33" i="10"/>
  <c r="H33" i="10" s="1"/>
  <c r="B34" i="10"/>
  <c r="H34" i="10" s="1"/>
  <c r="B35" i="10"/>
  <c r="H35" i="10" s="1"/>
  <c r="B36" i="10"/>
  <c r="H36" i="10" s="1"/>
  <c r="B37" i="10"/>
  <c r="D37" i="10" s="1"/>
  <c r="B38" i="10"/>
  <c r="H38" i="10" s="1"/>
  <c r="B39" i="10"/>
  <c r="H39" i="10" s="1"/>
  <c r="B13" i="10"/>
  <c r="D13" i="10" s="1"/>
  <c r="B9" i="10"/>
  <c r="D9" i="10" s="1"/>
  <c r="B10" i="10"/>
  <c r="D10" i="10" s="1"/>
  <c r="B8" i="10"/>
  <c r="D8" i="10" s="1"/>
  <c r="I68" i="9"/>
  <c r="H68" i="9"/>
  <c r="H13" i="9"/>
  <c r="H8" i="9"/>
  <c r="D68" i="9"/>
  <c r="E41" i="5"/>
  <c r="H9" i="10" l="1"/>
  <c r="J9" i="10" s="1"/>
  <c r="H10" i="10"/>
  <c r="J10" i="10" s="1"/>
  <c r="H14" i="10"/>
  <c r="J14" i="10" s="1"/>
  <c r="H17" i="10"/>
  <c r="J17" i="10" s="1"/>
  <c r="H48" i="12"/>
  <c r="J48" i="12" s="1"/>
  <c r="H37" i="10"/>
  <c r="J37" i="10" s="1"/>
  <c r="H13" i="10"/>
  <c r="J13" i="10" s="1"/>
  <c r="H32" i="10"/>
  <c r="J32" i="10" s="1"/>
  <c r="H28" i="10"/>
  <c r="J28" i="10" s="1"/>
  <c r="H24" i="10"/>
  <c r="J24" i="10" s="1"/>
  <c r="H8" i="10"/>
  <c r="J8" i="10" s="1"/>
  <c r="H15" i="10"/>
  <c r="J15" i="10" s="1"/>
  <c r="B47" i="10"/>
  <c r="H68" i="10"/>
  <c r="J68" i="10" s="1"/>
  <c r="Q189" i="18"/>
  <c r="P189" i="18"/>
  <c r="Q151" i="18"/>
  <c r="P151" i="18"/>
  <c r="Q136" i="18"/>
  <c r="P136" i="18"/>
  <c r="Q102" i="18"/>
  <c r="P102" i="18"/>
  <c r="Q97" i="18"/>
  <c r="P97" i="18"/>
  <c r="Q85" i="18"/>
  <c r="P85" i="18"/>
  <c r="Q75" i="18"/>
  <c r="P75" i="18"/>
  <c r="Q68" i="18"/>
  <c r="P68" i="18"/>
  <c r="Q38" i="18"/>
  <c r="P38" i="18"/>
  <c r="Q11" i="18"/>
  <c r="P11" i="18"/>
  <c r="D47" i="10" l="1"/>
  <c r="Q36" i="18"/>
  <c r="Q9" i="18" s="1"/>
  <c r="P36" i="18"/>
  <c r="P9" i="18" s="1"/>
  <c r="AA206" i="18" l="1"/>
  <c r="Z206" i="18"/>
  <c r="AA203" i="18"/>
  <c r="Z203" i="18"/>
  <c r="AA200" i="18"/>
  <c r="Z200" i="18"/>
  <c r="AA199" i="18"/>
  <c r="Z199" i="18"/>
  <c r="AA198" i="18"/>
  <c r="Z198" i="18"/>
  <c r="AA197" i="18"/>
  <c r="Z197" i="18"/>
  <c r="AA196" i="18"/>
  <c r="Z196" i="18"/>
  <c r="AA195" i="18"/>
  <c r="Z195" i="18"/>
  <c r="AA194" i="18"/>
  <c r="Z194" i="18"/>
  <c r="AA193" i="18"/>
  <c r="Z193" i="18"/>
  <c r="AA192" i="18"/>
  <c r="Z192" i="18"/>
  <c r="AA191" i="18"/>
  <c r="Z191" i="18"/>
  <c r="AA190" i="18"/>
  <c r="Z190" i="18"/>
  <c r="W189" i="18"/>
  <c r="V189" i="18"/>
  <c r="U189" i="18"/>
  <c r="T189" i="18"/>
  <c r="S189" i="18"/>
  <c r="R189" i="18"/>
  <c r="O189" i="18"/>
  <c r="N189" i="18"/>
  <c r="M189" i="18"/>
  <c r="L189" i="18"/>
  <c r="K189" i="18"/>
  <c r="J189" i="18"/>
  <c r="I189" i="18"/>
  <c r="H189" i="18"/>
  <c r="G189" i="18"/>
  <c r="F189" i="18"/>
  <c r="E189" i="18"/>
  <c r="D189" i="18"/>
  <c r="C189" i="18"/>
  <c r="B189" i="18"/>
  <c r="AA188" i="18"/>
  <c r="Z188" i="18"/>
  <c r="AA187" i="18"/>
  <c r="Z187" i="18"/>
  <c r="Z186" i="18"/>
  <c r="AA185" i="18"/>
  <c r="Z185" i="18"/>
  <c r="AA184" i="18"/>
  <c r="Z184" i="18"/>
  <c r="AA183" i="18"/>
  <c r="Z183" i="18"/>
  <c r="AA182" i="18"/>
  <c r="Z182" i="18"/>
  <c r="AA181" i="18"/>
  <c r="Z181" i="18"/>
  <c r="AA180" i="18"/>
  <c r="Z180" i="18"/>
  <c r="AA179" i="18"/>
  <c r="Z179" i="18"/>
  <c r="AA178" i="18"/>
  <c r="Z178" i="18"/>
  <c r="AA177" i="18"/>
  <c r="Z177" i="18"/>
  <c r="AA176" i="18"/>
  <c r="Z176" i="18"/>
  <c r="AA175" i="18"/>
  <c r="Z175" i="18"/>
  <c r="AA174" i="18"/>
  <c r="Z174" i="18"/>
  <c r="AA173" i="18"/>
  <c r="Z173" i="18"/>
  <c r="AA172" i="18"/>
  <c r="Z172" i="18"/>
  <c r="AA171" i="18"/>
  <c r="Z171" i="18"/>
  <c r="AA170" i="18"/>
  <c r="Z170" i="18"/>
  <c r="AA169" i="18"/>
  <c r="Z169" i="18"/>
  <c r="AA168" i="18"/>
  <c r="Z168" i="18"/>
  <c r="AA167" i="18"/>
  <c r="Z167" i="18"/>
  <c r="AA166" i="18"/>
  <c r="Z166" i="18"/>
  <c r="AA165" i="18"/>
  <c r="Z165" i="18"/>
  <c r="AA164" i="18"/>
  <c r="Z164" i="18"/>
  <c r="AA163" i="18"/>
  <c r="Z163" i="18"/>
  <c r="AA162" i="18"/>
  <c r="Z162" i="18"/>
  <c r="AA161" i="18"/>
  <c r="Z161" i="18"/>
  <c r="AA160" i="18"/>
  <c r="Z160" i="18"/>
  <c r="AA159" i="18"/>
  <c r="Z159" i="18"/>
  <c r="AA158" i="18"/>
  <c r="Z158" i="18"/>
  <c r="AA157" i="18"/>
  <c r="Z157" i="18"/>
  <c r="AA156" i="18"/>
  <c r="Z156" i="18"/>
  <c r="AA155" i="18"/>
  <c r="Z155" i="18"/>
  <c r="AA154" i="18"/>
  <c r="Z154" i="18"/>
  <c r="AA153" i="18"/>
  <c r="Z153" i="18"/>
  <c r="AA152" i="18"/>
  <c r="Z152" i="18"/>
  <c r="W151" i="18"/>
  <c r="V151" i="18"/>
  <c r="U151" i="18"/>
  <c r="T151" i="18"/>
  <c r="S151" i="18"/>
  <c r="R151" i="18"/>
  <c r="O151" i="18"/>
  <c r="N151" i="18"/>
  <c r="M151" i="18"/>
  <c r="L151" i="18"/>
  <c r="K151" i="18"/>
  <c r="J151" i="18"/>
  <c r="I151" i="18"/>
  <c r="H151" i="18"/>
  <c r="G151" i="18"/>
  <c r="F151" i="18"/>
  <c r="E151" i="18"/>
  <c r="D151" i="18"/>
  <c r="C151" i="18"/>
  <c r="B151" i="18"/>
  <c r="AA150" i="18"/>
  <c r="Z150" i="18"/>
  <c r="AA149" i="18"/>
  <c r="Z149" i="18"/>
  <c r="AA148" i="18"/>
  <c r="Z148" i="18"/>
  <c r="AA147" i="18"/>
  <c r="Z147" i="18"/>
  <c r="AA146" i="18"/>
  <c r="Z146" i="18"/>
  <c r="AA145" i="18"/>
  <c r="Z145" i="18"/>
  <c r="AA144" i="18"/>
  <c r="Z144" i="18"/>
  <c r="AA143" i="18"/>
  <c r="Z143" i="18"/>
  <c r="AA142" i="18"/>
  <c r="Z142" i="18"/>
  <c r="AA141" i="18"/>
  <c r="Z141" i="18"/>
  <c r="AA140" i="18"/>
  <c r="Z140" i="18"/>
  <c r="AA139" i="18"/>
  <c r="Z139" i="18"/>
  <c r="AA138" i="18"/>
  <c r="Z138" i="18"/>
  <c r="AA137" i="18"/>
  <c r="Z137" i="18"/>
  <c r="W136" i="18"/>
  <c r="V136" i="18"/>
  <c r="U136" i="18"/>
  <c r="T136" i="18"/>
  <c r="S136" i="18"/>
  <c r="R136" i="18"/>
  <c r="O136" i="18"/>
  <c r="N136" i="18"/>
  <c r="M136" i="18"/>
  <c r="L136" i="18"/>
  <c r="K136" i="18"/>
  <c r="J136" i="18"/>
  <c r="I136" i="18"/>
  <c r="H136" i="18"/>
  <c r="G136" i="18"/>
  <c r="F136" i="18"/>
  <c r="E136" i="18"/>
  <c r="D136" i="18"/>
  <c r="C136" i="18"/>
  <c r="B136" i="18"/>
  <c r="AA134" i="18"/>
  <c r="Z134" i="18"/>
  <c r="AA133" i="18"/>
  <c r="Z133" i="18"/>
  <c r="AA132" i="18"/>
  <c r="Z132" i="18"/>
  <c r="AA131" i="18"/>
  <c r="Z131" i="18"/>
  <c r="AA130" i="18"/>
  <c r="Z130" i="18"/>
  <c r="AA129" i="18"/>
  <c r="Z129" i="18"/>
  <c r="AA128" i="18"/>
  <c r="Z128" i="18"/>
  <c r="AA127" i="18"/>
  <c r="Z127" i="18"/>
  <c r="AA126" i="18"/>
  <c r="Z126" i="18"/>
  <c r="AA125" i="18"/>
  <c r="Z125" i="18"/>
  <c r="AA124" i="18"/>
  <c r="Z124" i="18"/>
  <c r="AA123" i="18"/>
  <c r="Z123" i="18"/>
  <c r="AA122" i="18"/>
  <c r="Z122" i="18"/>
  <c r="AA121" i="18"/>
  <c r="Z121" i="18"/>
  <c r="AA120" i="18"/>
  <c r="Z120" i="18"/>
  <c r="AA119" i="18"/>
  <c r="Z119" i="18"/>
  <c r="AA118" i="18"/>
  <c r="Z118" i="18"/>
  <c r="AA117" i="18"/>
  <c r="Z117" i="18"/>
  <c r="AA116" i="18"/>
  <c r="Z116" i="18"/>
  <c r="AA115" i="18"/>
  <c r="Z115" i="18"/>
  <c r="AA114" i="18"/>
  <c r="Z114" i="18"/>
  <c r="AA113" i="18"/>
  <c r="Z113" i="18"/>
  <c r="AA112" i="18"/>
  <c r="Z112" i="18"/>
  <c r="AA111" i="18"/>
  <c r="Z111" i="18"/>
  <c r="AA110" i="18"/>
  <c r="Z110" i="18"/>
  <c r="AA109" i="18"/>
  <c r="Z109" i="18"/>
  <c r="AA108" i="18"/>
  <c r="Z108" i="18"/>
  <c r="AA107" i="18"/>
  <c r="Z107" i="18"/>
  <c r="AA106" i="18"/>
  <c r="Z106" i="18"/>
  <c r="AA105" i="18"/>
  <c r="Z105" i="18"/>
  <c r="AA104" i="18"/>
  <c r="Z104" i="18"/>
  <c r="AA103" i="18"/>
  <c r="Z103" i="18"/>
  <c r="W102" i="18"/>
  <c r="V102" i="18"/>
  <c r="U102" i="18"/>
  <c r="T102" i="18"/>
  <c r="S102" i="18"/>
  <c r="R102" i="18"/>
  <c r="O102" i="18"/>
  <c r="N102" i="18"/>
  <c r="M102" i="18"/>
  <c r="L102" i="18"/>
  <c r="K102" i="18"/>
  <c r="J102" i="18"/>
  <c r="I102" i="18"/>
  <c r="H102" i="18"/>
  <c r="G102" i="18"/>
  <c r="F102" i="18"/>
  <c r="E102" i="18"/>
  <c r="D102" i="18"/>
  <c r="C102" i="18"/>
  <c r="B102" i="18"/>
  <c r="AA100" i="18"/>
  <c r="Z100" i="18"/>
  <c r="AA99" i="18"/>
  <c r="Z99" i="18"/>
  <c r="AA98" i="18"/>
  <c r="Z98" i="18"/>
  <c r="W97" i="18"/>
  <c r="V97" i="18"/>
  <c r="U97" i="18"/>
  <c r="T97" i="18"/>
  <c r="S97" i="18"/>
  <c r="R97" i="18"/>
  <c r="O97" i="18"/>
  <c r="N97" i="18"/>
  <c r="M97" i="18"/>
  <c r="L97" i="18"/>
  <c r="K97" i="18"/>
  <c r="J97" i="18"/>
  <c r="I97" i="18"/>
  <c r="H97" i="18"/>
  <c r="G97" i="18"/>
  <c r="F97" i="18"/>
  <c r="E97" i="18"/>
  <c r="D97" i="18"/>
  <c r="C97" i="18"/>
  <c r="B97" i="18"/>
  <c r="AA95" i="18"/>
  <c r="Z95" i="18"/>
  <c r="AA94" i="18"/>
  <c r="Z94" i="18"/>
  <c r="AA93" i="18"/>
  <c r="Z93" i="18"/>
  <c r="AA92" i="18"/>
  <c r="Z92" i="18"/>
  <c r="AA91" i="18"/>
  <c r="Z91" i="18"/>
  <c r="AA90" i="18"/>
  <c r="Z90" i="18"/>
  <c r="AA89" i="18"/>
  <c r="Z89" i="18"/>
  <c r="AA88" i="18"/>
  <c r="Z88" i="18"/>
  <c r="AA87" i="18"/>
  <c r="Z87" i="18"/>
  <c r="AA86" i="18"/>
  <c r="Z86" i="18"/>
  <c r="W85" i="18"/>
  <c r="V85" i="18"/>
  <c r="U85" i="18"/>
  <c r="T85" i="18"/>
  <c r="S85" i="18"/>
  <c r="R85" i="18"/>
  <c r="O85" i="18"/>
  <c r="N85" i="18"/>
  <c r="M85" i="18"/>
  <c r="L85" i="18"/>
  <c r="K85" i="18"/>
  <c r="J85" i="18"/>
  <c r="I85" i="18"/>
  <c r="H85" i="18"/>
  <c r="G85" i="18"/>
  <c r="F85" i="18"/>
  <c r="E85" i="18"/>
  <c r="D85" i="18"/>
  <c r="C85" i="18"/>
  <c r="B85" i="18"/>
  <c r="AA83" i="18"/>
  <c r="Z83" i="18"/>
  <c r="AA82" i="18"/>
  <c r="Z82" i="18"/>
  <c r="AA81" i="18"/>
  <c r="Z81" i="18"/>
  <c r="AA80" i="18"/>
  <c r="Z80" i="18"/>
  <c r="AA79" i="18"/>
  <c r="Z79" i="18"/>
  <c r="AA78" i="18"/>
  <c r="Z78" i="18"/>
  <c r="AA77" i="18"/>
  <c r="Z77" i="18"/>
  <c r="AA76" i="18"/>
  <c r="Z76" i="18"/>
  <c r="W75" i="18"/>
  <c r="V75" i="18"/>
  <c r="U75" i="18"/>
  <c r="T75" i="18"/>
  <c r="S75" i="18"/>
  <c r="R75" i="18"/>
  <c r="O75" i="18"/>
  <c r="N75" i="18"/>
  <c r="M75" i="18"/>
  <c r="L75" i="18"/>
  <c r="K75" i="18"/>
  <c r="J75" i="18"/>
  <c r="I75" i="18"/>
  <c r="H75" i="18"/>
  <c r="G75" i="18"/>
  <c r="F75" i="18"/>
  <c r="E75" i="18"/>
  <c r="D75" i="18"/>
  <c r="C75" i="18"/>
  <c r="B75" i="18"/>
  <c r="AA73" i="18"/>
  <c r="Z73" i="18"/>
  <c r="AA72" i="18"/>
  <c r="Z72" i="18"/>
  <c r="AA71" i="18"/>
  <c r="Z71" i="18"/>
  <c r="AA70" i="18"/>
  <c r="Z70" i="18"/>
  <c r="AA69" i="18"/>
  <c r="Z69" i="18"/>
  <c r="W68" i="18"/>
  <c r="V68" i="18"/>
  <c r="U68" i="18"/>
  <c r="T68" i="18"/>
  <c r="S68" i="18"/>
  <c r="R68" i="18"/>
  <c r="O68" i="18"/>
  <c r="N68" i="18"/>
  <c r="M68" i="18"/>
  <c r="L68" i="18"/>
  <c r="K68" i="18"/>
  <c r="J68" i="18"/>
  <c r="I68" i="18"/>
  <c r="H68" i="18"/>
  <c r="G68" i="18"/>
  <c r="F68" i="18"/>
  <c r="E68" i="18"/>
  <c r="D68" i="18"/>
  <c r="C68" i="18"/>
  <c r="B68" i="18"/>
  <c r="AA66" i="18"/>
  <c r="Z66" i="18"/>
  <c r="AA65" i="18"/>
  <c r="Z65" i="18"/>
  <c r="AA64" i="18"/>
  <c r="Z64" i="18"/>
  <c r="AA63" i="18"/>
  <c r="Z63" i="18"/>
  <c r="AA62" i="18"/>
  <c r="Z62" i="18"/>
  <c r="AA61" i="18"/>
  <c r="Z61" i="18"/>
  <c r="AA60" i="18"/>
  <c r="Z60" i="18"/>
  <c r="AA59" i="18"/>
  <c r="Z59" i="18"/>
  <c r="AA58" i="18"/>
  <c r="Z58" i="18"/>
  <c r="AA57" i="18"/>
  <c r="Z57" i="18"/>
  <c r="AA56" i="18"/>
  <c r="Z56" i="18"/>
  <c r="AA55" i="18"/>
  <c r="Z55" i="18"/>
  <c r="AA54" i="18"/>
  <c r="Z54" i="18"/>
  <c r="AA53" i="18"/>
  <c r="Z53" i="18"/>
  <c r="AA52" i="18"/>
  <c r="Z52" i="18"/>
  <c r="AA51" i="18"/>
  <c r="Z51" i="18"/>
  <c r="AA50" i="18"/>
  <c r="Z50" i="18"/>
  <c r="AA49" i="18"/>
  <c r="Z49" i="18"/>
  <c r="AA48" i="18"/>
  <c r="Z48" i="18"/>
  <c r="AA47" i="18"/>
  <c r="Z47" i="18"/>
  <c r="AA46" i="18"/>
  <c r="Z46" i="18"/>
  <c r="AA45" i="18"/>
  <c r="Z45" i="18"/>
  <c r="AA44" i="18"/>
  <c r="Z44" i="18"/>
  <c r="AA43" i="18"/>
  <c r="Z43" i="18"/>
  <c r="AA42" i="18"/>
  <c r="Z42" i="18"/>
  <c r="AA41" i="18"/>
  <c r="Z41" i="18"/>
  <c r="AA40" i="18"/>
  <c r="Z40" i="18"/>
  <c r="AA39" i="18"/>
  <c r="Z39" i="18"/>
  <c r="W38" i="18"/>
  <c r="V38" i="18"/>
  <c r="U38" i="18"/>
  <c r="T38" i="18"/>
  <c r="T36" i="18" s="1"/>
  <c r="S38" i="18"/>
  <c r="R38" i="18"/>
  <c r="O38" i="18"/>
  <c r="N38" i="18"/>
  <c r="N36" i="18" s="1"/>
  <c r="M38" i="18"/>
  <c r="M36" i="18" s="1"/>
  <c r="L38" i="18"/>
  <c r="K38" i="18"/>
  <c r="J38" i="18"/>
  <c r="J36" i="18" s="1"/>
  <c r="I38" i="18"/>
  <c r="H38" i="18"/>
  <c r="H36" i="18" s="1"/>
  <c r="G38" i="18"/>
  <c r="F38" i="18"/>
  <c r="F36" i="18" s="1"/>
  <c r="E38" i="18"/>
  <c r="D38" i="18"/>
  <c r="C38" i="18"/>
  <c r="B38" i="18"/>
  <c r="B36" i="18" s="1"/>
  <c r="L36" i="18"/>
  <c r="AA34" i="18"/>
  <c r="Z34" i="18"/>
  <c r="AA33" i="18"/>
  <c r="Z33" i="18"/>
  <c r="AA32" i="18"/>
  <c r="Z32" i="18"/>
  <c r="AA31" i="18"/>
  <c r="Z31" i="18"/>
  <c r="AA30" i="18"/>
  <c r="Z30" i="18"/>
  <c r="AA29" i="18"/>
  <c r="Z29" i="18"/>
  <c r="AA28" i="18"/>
  <c r="Z28" i="18"/>
  <c r="AA27" i="18"/>
  <c r="Z27" i="18"/>
  <c r="AA26" i="18"/>
  <c r="Z26" i="18"/>
  <c r="AA25" i="18"/>
  <c r="Z25" i="18"/>
  <c r="AA24" i="18"/>
  <c r="Z24" i="18"/>
  <c r="AA23" i="18"/>
  <c r="Z23" i="18"/>
  <c r="AA22" i="18"/>
  <c r="Z22" i="18"/>
  <c r="AA21" i="18"/>
  <c r="Z21" i="18"/>
  <c r="AA20" i="18"/>
  <c r="Z20" i="18"/>
  <c r="AA19" i="18"/>
  <c r="Z19" i="18"/>
  <c r="AA18" i="18"/>
  <c r="Z18" i="18"/>
  <c r="AA17" i="18"/>
  <c r="Z17" i="18"/>
  <c r="AA16" i="18"/>
  <c r="Z16" i="18"/>
  <c r="AA15" i="18"/>
  <c r="Z15" i="18"/>
  <c r="AA14" i="18"/>
  <c r="Z14" i="18"/>
  <c r="AA13" i="18"/>
  <c r="Z13" i="18"/>
  <c r="AA12" i="18"/>
  <c r="Z12" i="18"/>
  <c r="W11" i="18"/>
  <c r="V11" i="18"/>
  <c r="U11" i="18"/>
  <c r="T11" i="18"/>
  <c r="S11" i="18"/>
  <c r="R11" i="18"/>
  <c r="O11" i="18"/>
  <c r="N11" i="18"/>
  <c r="M11" i="18"/>
  <c r="L11" i="18"/>
  <c r="K11" i="18"/>
  <c r="J11" i="18"/>
  <c r="I11" i="18"/>
  <c r="H11" i="18"/>
  <c r="G11" i="18"/>
  <c r="F11" i="18"/>
  <c r="E11" i="18"/>
  <c r="D11" i="18"/>
  <c r="C11" i="18"/>
  <c r="B11" i="18"/>
  <c r="N9" i="18" l="1"/>
  <c r="J9" i="18"/>
  <c r="D36" i="18"/>
  <c r="D9" i="18" s="1"/>
  <c r="L9" i="18"/>
  <c r="I36" i="18"/>
  <c r="I9" i="18" s="1"/>
  <c r="K36" i="18"/>
  <c r="K9" i="18" s="1"/>
  <c r="M9" i="18"/>
  <c r="F9" i="18"/>
  <c r="V36" i="18"/>
  <c r="V9" i="18" s="1"/>
  <c r="G36" i="18"/>
  <c r="G9" i="18" s="1"/>
  <c r="H9" i="18"/>
  <c r="C36" i="18"/>
  <c r="C9" i="18" s="1"/>
  <c r="O36" i="18"/>
  <c r="O9" i="18" s="1"/>
  <c r="W36" i="18"/>
  <c r="W9" i="18" s="1"/>
  <c r="Z189" i="18"/>
  <c r="AA136" i="18"/>
  <c r="T9" i="18"/>
  <c r="AA68" i="18"/>
  <c r="AA189" i="18"/>
  <c r="S36" i="18"/>
  <c r="R36" i="18"/>
  <c r="Z75" i="18"/>
  <c r="AA97" i="18"/>
  <c r="Z151" i="18"/>
  <c r="AA38" i="18"/>
  <c r="AA11" i="18"/>
  <c r="AA85" i="18"/>
  <c r="Z85" i="18"/>
  <c r="Z97" i="18"/>
  <c r="Z38" i="18"/>
  <c r="Z68" i="18"/>
  <c r="Z102" i="18"/>
  <c r="Z136" i="18"/>
  <c r="B9" i="18"/>
  <c r="Z11" i="18"/>
  <c r="E36" i="18"/>
  <c r="E9" i="18" s="1"/>
  <c r="U36" i="18"/>
  <c r="AA102" i="18"/>
  <c r="AA151" i="18"/>
  <c r="AA75" i="18"/>
  <c r="S9" i="18" l="1"/>
  <c r="Z36" i="18"/>
  <c r="U9" i="18"/>
  <c r="R9" i="18"/>
  <c r="AA36" i="18"/>
  <c r="AA9" i="18" l="1"/>
  <c r="Z9" i="18"/>
  <c r="B72" i="2"/>
  <c r="H72" i="2" s="1"/>
  <c r="B14" i="2"/>
  <c r="B15" i="2"/>
  <c r="B16" i="2"/>
  <c r="B17" i="2"/>
  <c r="B18" i="2"/>
  <c r="B19" i="2"/>
  <c r="B20" i="2"/>
  <c r="H20" i="2" s="1"/>
  <c r="B21" i="2"/>
  <c r="B22" i="2"/>
  <c r="H22" i="2" s="1"/>
  <c r="B23" i="2"/>
  <c r="H23" i="2" s="1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13" i="2"/>
  <c r="B67" i="2"/>
  <c r="H67" i="2" s="1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43" i="2"/>
  <c r="B44" i="2"/>
  <c r="B45" i="2"/>
  <c r="H45" i="2" s="1"/>
  <c r="B42" i="2"/>
  <c r="F39" i="1"/>
  <c r="F44" i="1"/>
  <c r="D72" i="2" l="1"/>
  <c r="J72" i="2"/>
  <c r="J67" i="2"/>
  <c r="D67" i="2"/>
  <c r="H60" i="2"/>
  <c r="J60" i="2" s="1"/>
  <c r="D60" i="2"/>
  <c r="H57" i="2"/>
  <c r="J57" i="2" s="1"/>
  <c r="D57" i="2"/>
  <c r="D65" i="2"/>
  <c r="H65" i="2"/>
  <c r="J65" i="2" s="1"/>
  <c r="D53" i="2"/>
  <c r="H53" i="2"/>
  <c r="J53" i="2" s="1"/>
  <c r="H50" i="2"/>
  <c r="J50" i="2" s="1"/>
  <c r="D50" i="2"/>
  <c r="H54" i="2"/>
  <c r="J54" i="2" s="1"/>
  <c r="D54" i="2"/>
  <c r="H59" i="2"/>
  <c r="J59" i="2" s="1"/>
  <c r="D59" i="2"/>
  <c r="H64" i="2"/>
  <c r="J64" i="2" s="1"/>
  <c r="D64" i="2"/>
  <c r="D58" i="2"/>
  <c r="H58" i="2"/>
  <c r="J58" i="2" s="1"/>
  <c r="D52" i="2"/>
  <c r="H52" i="2"/>
  <c r="J52" i="2" s="1"/>
  <c r="H63" i="2"/>
  <c r="J63" i="2" s="1"/>
  <c r="D63" i="2"/>
  <c r="H51" i="2"/>
  <c r="J51" i="2" s="1"/>
  <c r="D51" i="2"/>
  <c r="H62" i="2"/>
  <c r="J62" i="2" s="1"/>
  <c r="D62" i="2"/>
  <c r="H56" i="2"/>
  <c r="J56" i="2" s="1"/>
  <c r="D56" i="2"/>
  <c r="H61" i="2"/>
  <c r="J61" i="2" s="1"/>
  <c r="D61" i="2"/>
  <c r="H55" i="2"/>
  <c r="J55" i="2" s="1"/>
  <c r="D55" i="2"/>
  <c r="H43" i="2"/>
  <c r="J43" i="2" s="1"/>
  <c r="D43" i="2"/>
  <c r="H44" i="2"/>
  <c r="J44" i="2" s="1"/>
  <c r="D44" i="2"/>
  <c r="H42" i="2"/>
  <c r="J42" i="2" s="1"/>
  <c r="D42" i="2"/>
  <c r="D16" i="2"/>
  <c r="H16" i="2"/>
  <c r="J16" i="2" s="1"/>
  <c r="H15" i="2"/>
  <c r="J15" i="2" s="1"/>
  <c r="D15" i="2"/>
  <c r="H39" i="2"/>
  <c r="J39" i="2" s="1"/>
  <c r="D39" i="2"/>
  <c r="H38" i="2"/>
  <c r="J38" i="2" s="1"/>
  <c r="D38" i="2"/>
  <c r="H14" i="2"/>
  <c r="J14" i="2" s="1"/>
  <c r="D14" i="2"/>
  <c r="H34" i="2"/>
  <c r="J34" i="2" s="1"/>
  <c r="D34" i="2"/>
  <c r="H27" i="2"/>
  <c r="J27" i="2" s="1"/>
  <c r="D27" i="2"/>
  <c r="H32" i="2"/>
  <c r="J32" i="2" s="1"/>
  <c r="D32" i="2"/>
  <c r="H25" i="2"/>
  <c r="J25" i="2" s="1"/>
  <c r="D25" i="2"/>
  <c r="H19" i="2"/>
  <c r="J19" i="2" s="1"/>
  <c r="D19" i="2"/>
  <c r="H26" i="2"/>
  <c r="J26" i="2" s="1"/>
  <c r="D26" i="2"/>
  <c r="H37" i="2"/>
  <c r="J37" i="2" s="1"/>
  <c r="D37" i="2"/>
  <c r="H30" i="2"/>
  <c r="J30" i="2" s="1"/>
  <c r="D30" i="2"/>
  <c r="H24" i="2"/>
  <c r="J24" i="2" s="1"/>
  <c r="D24" i="2"/>
  <c r="H18" i="2"/>
  <c r="J18" i="2" s="1"/>
  <c r="D18" i="2"/>
  <c r="H28" i="2"/>
  <c r="J28" i="2" s="1"/>
  <c r="D28" i="2"/>
  <c r="H33" i="2"/>
  <c r="J33" i="2" s="1"/>
  <c r="D33" i="2"/>
  <c r="H21" i="2"/>
  <c r="J21" i="2" s="1"/>
  <c r="D21" i="2"/>
  <c r="H31" i="2"/>
  <c r="J31" i="2" s="1"/>
  <c r="D31" i="2"/>
  <c r="H36" i="2"/>
  <c r="J36" i="2" s="1"/>
  <c r="D36" i="2"/>
  <c r="D35" i="2"/>
  <c r="H35" i="2"/>
  <c r="J35" i="2" s="1"/>
  <c r="H29" i="2"/>
  <c r="J29" i="2" s="1"/>
  <c r="D29" i="2"/>
  <c r="D17" i="2"/>
  <c r="H17" i="2"/>
  <c r="J17" i="2" s="1"/>
  <c r="H13" i="2"/>
  <c r="J13" i="2" s="1"/>
  <c r="D13" i="2"/>
  <c r="B47" i="2"/>
  <c r="F13" i="5"/>
  <c r="H47" i="2" l="1"/>
  <c r="J47" i="2" s="1"/>
  <c r="D47" i="2"/>
  <c r="G41" i="5"/>
  <c r="I41" i="5" s="1"/>
  <c r="H53" i="11" l="1"/>
  <c r="H32" i="11"/>
  <c r="H28" i="11"/>
  <c r="H27" i="11"/>
  <c r="H20" i="11"/>
  <c r="G8" i="11"/>
  <c r="B8" i="11"/>
  <c r="F42" i="9"/>
  <c r="G7" i="9"/>
  <c r="D71" i="5"/>
  <c r="H66" i="5"/>
  <c r="H64" i="5"/>
  <c r="H63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5" i="5"/>
  <c r="H44" i="5"/>
  <c r="H43" i="5"/>
  <c r="H42" i="5"/>
  <c r="F41" i="5"/>
  <c r="H41" i="5"/>
  <c r="C41" i="5"/>
  <c r="B41" i="5"/>
  <c r="D41" i="5" s="1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3" i="5"/>
  <c r="H22" i="5"/>
  <c r="F22" i="5"/>
  <c r="H21" i="5"/>
  <c r="H20" i="5"/>
  <c r="F20" i="5"/>
  <c r="H19" i="5"/>
  <c r="H18" i="5"/>
  <c r="H16" i="5"/>
  <c r="H14" i="5"/>
  <c r="H13" i="5"/>
  <c r="C12" i="5"/>
  <c r="C7" i="5"/>
  <c r="B7" i="5"/>
  <c r="H67" i="1"/>
  <c r="H65" i="1"/>
  <c r="F65" i="1"/>
  <c r="H64" i="1"/>
  <c r="H63" i="1"/>
  <c r="H62" i="1"/>
  <c r="H61" i="1"/>
  <c r="H60" i="1"/>
  <c r="H45" i="1"/>
  <c r="H44" i="1"/>
  <c r="H43" i="1"/>
  <c r="H42" i="1"/>
  <c r="B41" i="1"/>
  <c r="F27" i="1"/>
  <c r="F26" i="1"/>
  <c r="F25" i="1"/>
  <c r="F24" i="1"/>
  <c r="F23" i="1"/>
  <c r="F22" i="1"/>
  <c r="G7" i="1"/>
  <c r="B7" i="1"/>
  <c r="E7" i="1"/>
  <c r="C7" i="1"/>
  <c r="D12" i="5" l="1"/>
  <c r="D7" i="5"/>
  <c r="D7" i="1"/>
  <c r="F7" i="1"/>
  <c r="I7" i="1"/>
  <c r="G41" i="10"/>
  <c r="C41" i="9"/>
  <c r="B41" i="10"/>
  <c r="B7" i="9"/>
  <c r="B41" i="9"/>
  <c r="D41" i="9" s="1"/>
  <c r="E41" i="9"/>
  <c r="E41" i="10"/>
  <c r="G41" i="9"/>
  <c r="H41" i="9" s="1"/>
  <c r="C65" i="5"/>
  <c r="B65" i="5"/>
  <c r="F28" i="1"/>
  <c r="F30" i="1"/>
  <c r="F32" i="1"/>
  <c r="F34" i="1"/>
  <c r="F36" i="1"/>
  <c r="F49" i="1"/>
  <c r="F51" i="1"/>
  <c r="F52" i="1"/>
  <c r="F54" i="1"/>
  <c r="F59" i="1"/>
  <c r="H59" i="1"/>
  <c r="F60" i="1"/>
  <c r="F24" i="5"/>
  <c r="F31" i="5"/>
  <c r="F35" i="5"/>
  <c r="F43" i="5"/>
  <c r="F45" i="5"/>
  <c r="F62" i="5"/>
  <c r="F64" i="5"/>
  <c r="F29" i="1"/>
  <c r="F31" i="1"/>
  <c r="F33" i="1"/>
  <c r="F35" i="1"/>
  <c r="F37" i="1"/>
  <c r="F50" i="1"/>
  <c r="F53" i="1"/>
  <c r="F55" i="1"/>
  <c r="F8" i="1"/>
  <c r="F9" i="1"/>
  <c r="F10" i="1"/>
  <c r="F13" i="1"/>
  <c r="F14" i="1"/>
  <c r="F15" i="1"/>
  <c r="F16" i="1"/>
  <c r="F17" i="1"/>
  <c r="F18" i="1"/>
  <c r="F19" i="1"/>
  <c r="F20" i="1"/>
  <c r="F21" i="1"/>
  <c r="F42" i="1"/>
  <c r="F43" i="1"/>
  <c r="F45" i="1"/>
  <c r="F61" i="1"/>
  <c r="F62" i="1"/>
  <c r="F63" i="1"/>
  <c r="F64" i="1"/>
  <c r="F23" i="5"/>
  <c r="F28" i="5"/>
  <c r="E7" i="10"/>
  <c r="G7" i="5"/>
  <c r="H7" i="5" s="1"/>
  <c r="B13" i="11"/>
  <c r="H43" i="11"/>
  <c r="E41" i="1"/>
  <c r="B12" i="9"/>
  <c r="G12" i="9"/>
  <c r="H12" i="9" s="1"/>
  <c r="E7" i="5"/>
  <c r="F44" i="5"/>
  <c r="F38" i="5"/>
  <c r="F37" i="5"/>
  <c r="F39" i="5"/>
  <c r="G12" i="1"/>
  <c r="H12" i="1" s="1"/>
  <c r="B12" i="1"/>
  <c r="C41" i="1"/>
  <c r="D41" i="1" s="1"/>
  <c r="F58" i="1"/>
  <c r="F8" i="5"/>
  <c r="F18" i="5"/>
  <c r="F27" i="5"/>
  <c r="F30" i="5"/>
  <c r="F34" i="5"/>
  <c r="F42" i="5"/>
  <c r="F50" i="5"/>
  <c r="F53" i="5"/>
  <c r="F61" i="5"/>
  <c r="F66" i="5"/>
  <c r="E12" i="9"/>
  <c r="H18" i="11"/>
  <c r="E8" i="11"/>
  <c r="C42" i="11"/>
  <c r="F15" i="5"/>
  <c r="F26" i="5"/>
  <c r="F29" i="5"/>
  <c r="F33" i="5"/>
  <c r="F58" i="5"/>
  <c r="F63" i="5"/>
  <c r="B41" i="2"/>
  <c r="H15" i="5"/>
  <c r="F21" i="5"/>
  <c r="F25" i="5"/>
  <c r="F32" i="5"/>
  <c r="F36" i="5"/>
  <c r="F49" i="5"/>
  <c r="F54" i="5"/>
  <c r="F57" i="5"/>
  <c r="H44" i="11"/>
  <c r="H64" i="11"/>
  <c r="F14" i="5"/>
  <c r="F52" i="5"/>
  <c r="F56" i="5"/>
  <c r="F60" i="5"/>
  <c r="H19" i="11"/>
  <c r="E13" i="11"/>
  <c r="B42" i="11"/>
  <c r="H42" i="11"/>
  <c r="H50" i="11"/>
  <c r="H56" i="11"/>
  <c r="F10" i="5"/>
  <c r="E12" i="5"/>
  <c r="F17" i="5"/>
  <c r="F51" i="5"/>
  <c r="F55" i="5"/>
  <c r="F59" i="5"/>
  <c r="C7" i="9"/>
  <c r="C12" i="9"/>
  <c r="B7" i="10"/>
  <c r="C8" i="11"/>
  <c r="D8" i="11" s="1"/>
  <c r="H25" i="11"/>
  <c r="H26" i="11"/>
  <c r="H48" i="11"/>
  <c r="B12" i="10"/>
  <c r="C13" i="11"/>
  <c r="H54" i="11"/>
  <c r="H55" i="11"/>
  <c r="E8" i="12"/>
  <c r="E13" i="12"/>
  <c r="E42" i="12"/>
  <c r="B8" i="12"/>
  <c r="B13" i="12"/>
  <c r="B42" i="12"/>
  <c r="D42" i="12" s="1"/>
  <c r="G13" i="11"/>
  <c r="H29" i="11"/>
  <c r="E42" i="11"/>
  <c r="H52" i="11"/>
  <c r="H8" i="11"/>
  <c r="H15" i="11"/>
  <c r="H16" i="11"/>
  <c r="H17" i="11"/>
  <c r="E12" i="10"/>
  <c r="H7" i="9"/>
  <c r="F47" i="9"/>
  <c r="E7" i="9"/>
  <c r="F9" i="5"/>
  <c r="G12" i="5"/>
  <c r="F16" i="5"/>
  <c r="H17" i="5"/>
  <c r="F19" i="5"/>
  <c r="H24" i="5"/>
  <c r="F47" i="5"/>
  <c r="H62" i="5"/>
  <c r="B12" i="2"/>
  <c r="B7" i="2"/>
  <c r="H7" i="1"/>
  <c r="H49" i="1"/>
  <c r="H50" i="1"/>
  <c r="H51" i="1"/>
  <c r="H52" i="1"/>
  <c r="H53" i="1"/>
  <c r="H54" i="1"/>
  <c r="H55" i="1"/>
  <c r="H56" i="1"/>
  <c r="H57" i="1"/>
  <c r="H58" i="1"/>
  <c r="C12" i="1"/>
  <c r="E12" i="1"/>
  <c r="G41" i="1"/>
  <c r="F67" i="1"/>
  <c r="D7" i="9" l="1"/>
  <c r="H41" i="2"/>
  <c r="J41" i="2" s="1"/>
  <c r="D41" i="2"/>
  <c r="D12" i="2"/>
  <c r="H12" i="2"/>
  <c r="J12" i="2" s="1"/>
  <c r="H7" i="2"/>
  <c r="J7" i="2" s="1"/>
  <c r="D7" i="2"/>
  <c r="G8" i="12"/>
  <c r="D12" i="10"/>
  <c r="G42" i="12"/>
  <c r="H41" i="10"/>
  <c r="B67" i="10"/>
  <c r="G12" i="10"/>
  <c r="D13" i="12"/>
  <c r="H7" i="10"/>
  <c r="G13" i="12"/>
  <c r="D41" i="10"/>
  <c r="G7" i="10"/>
  <c r="H13" i="12"/>
  <c r="D12" i="9"/>
  <c r="H42" i="12"/>
  <c r="D42" i="11"/>
  <c r="I12" i="10"/>
  <c r="I12" i="5"/>
  <c r="I41" i="10"/>
  <c r="J41" i="10" s="1"/>
  <c r="F42" i="11"/>
  <c r="I42" i="11"/>
  <c r="H8" i="12"/>
  <c r="I13" i="12"/>
  <c r="F12" i="9"/>
  <c r="I12" i="9"/>
  <c r="I42" i="12"/>
  <c r="F7" i="9"/>
  <c r="I7" i="9"/>
  <c r="H12" i="10"/>
  <c r="F13" i="11"/>
  <c r="I13" i="11"/>
  <c r="F7" i="5"/>
  <c r="I7" i="5"/>
  <c r="D13" i="11"/>
  <c r="D8" i="12"/>
  <c r="I8" i="12"/>
  <c r="I7" i="10"/>
  <c r="D7" i="10"/>
  <c r="F8" i="11"/>
  <c r="I8" i="11"/>
  <c r="D65" i="5"/>
  <c r="F41" i="9"/>
  <c r="I41" i="9"/>
  <c r="B66" i="1"/>
  <c r="D12" i="1"/>
  <c r="F12" i="1"/>
  <c r="I12" i="1"/>
  <c r="F41" i="1"/>
  <c r="I41" i="1"/>
  <c r="H47" i="1"/>
  <c r="H47" i="5"/>
  <c r="F12" i="5"/>
  <c r="E63" i="12"/>
  <c r="G66" i="1"/>
  <c r="H66" i="1" s="1"/>
  <c r="C67" i="9"/>
  <c r="B67" i="9"/>
  <c r="C66" i="1"/>
  <c r="B63" i="11"/>
  <c r="G63" i="11"/>
  <c r="C63" i="11"/>
  <c r="E67" i="9"/>
  <c r="E65" i="5"/>
  <c r="B66" i="2"/>
  <c r="B63" i="12"/>
  <c r="H13" i="11"/>
  <c r="E63" i="11"/>
  <c r="F48" i="11"/>
  <c r="H12" i="5"/>
  <c r="G65" i="5"/>
  <c r="F47" i="1"/>
  <c r="E66" i="1"/>
  <c r="H41" i="1"/>
  <c r="H66" i="2" l="1"/>
  <c r="J66" i="2" s="1"/>
  <c r="D66" i="2"/>
  <c r="J7" i="10"/>
  <c r="D63" i="12"/>
  <c r="G63" i="12"/>
  <c r="J42" i="12"/>
  <c r="J12" i="10"/>
  <c r="D67" i="10"/>
  <c r="J13" i="12"/>
  <c r="H63" i="12"/>
  <c r="J8" i="12"/>
  <c r="D63" i="11"/>
  <c r="I67" i="10"/>
  <c r="F65" i="5"/>
  <c r="I65" i="5"/>
  <c r="I63" i="12"/>
  <c r="F67" i="9"/>
  <c r="I63" i="11"/>
  <c r="D67" i="9"/>
  <c r="F66" i="1"/>
  <c r="I66" i="1"/>
  <c r="D66" i="1"/>
  <c r="F63" i="11"/>
  <c r="H63" i="11"/>
  <c r="H65" i="5"/>
  <c r="J63" i="12" l="1"/>
  <c r="E47" i="10"/>
  <c r="G47" i="10" s="1"/>
  <c r="G67" i="9"/>
  <c r="H47" i="9"/>
  <c r="I67" i="9" l="1"/>
  <c r="E67" i="10"/>
  <c r="G67" i="10" s="1"/>
  <c r="H47" i="10"/>
  <c r="J47" i="10" s="1"/>
  <c r="H67" i="9"/>
  <c r="B19" i="27"/>
  <c r="D19" i="27" s="1"/>
  <c r="D15" i="27"/>
  <c r="G19" i="27"/>
  <c r="G15" i="27"/>
  <c r="H67" i="10" l="1"/>
  <c r="J67" i="10" s="1"/>
</calcChain>
</file>

<file path=xl/sharedStrings.xml><?xml version="1.0" encoding="utf-8"?>
<sst xmlns="http://schemas.openxmlformats.org/spreadsheetml/2006/main" count="1820" uniqueCount="515">
  <si>
    <r>
      <t>CCC CODE: 87120010</t>
    </r>
    <r>
      <rPr>
        <sz val="12"/>
        <color theme="1"/>
        <rFont val="新細明體"/>
        <family val="2"/>
        <charset val="136"/>
        <scheme val="minor"/>
      </rPr>
      <t xml:space="preserve"> Bicycles</t>
    </r>
    <phoneticPr fontId="6" type="noConversion"/>
  </si>
  <si>
    <t>平均單價</t>
  </si>
  <si>
    <t>(%)</t>
  </si>
  <si>
    <t>(台)</t>
  </si>
  <si>
    <t>(US$)</t>
  </si>
  <si>
    <t>北美自由貿易區</t>
  </si>
  <si>
    <t>(NAFTA)</t>
  </si>
  <si>
    <t>加拿大</t>
  </si>
  <si>
    <t>墨西哥</t>
  </si>
  <si>
    <t>歐盟(EU)</t>
  </si>
  <si>
    <t>西班牙</t>
  </si>
  <si>
    <t>義大利</t>
  </si>
  <si>
    <t>比利時</t>
  </si>
  <si>
    <t>葡萄牙</t>
  </si>
  <si>
    <t>愛爾蘭</t>
  </si>
  <si>
    <t>盧森堡</t>
  </si>
  <si>
    <t>奧地利</t>
  </si>
  <si>
    <t>斯洛維尼亞</t>
    <phoneticPr fontId="6" type="noConversion"/>
  </si>
  <si>
    <t>斯洛伐克</t>
    <phoneticPr fontId="6" type="noConversion"/>
  </si>
  <si>
    <t>克羅埃西亞</t>
    <phoneticPr fontId="4" type="noConversion"/>
  </si>
  <si>
    <t>歐協(EFTA)</t>
  </si>
  <si>
    <t>列支斯敦</t>
  </si>
  <si>
    <t>主要國家</t>
  </si>
  <si>
    <t>阿根廷</t>
  </si>
  <si>
    <t>以色列</t>
  </si>
  <si>
    <t>俄羅斯</t>
    <phoneticPr fontId="10" type="noConversion"/>
  </si>
  <si>
    <t>烏克蘭</t>
    <phoneticPr fontId="10" type="noConversion"/>
  </si>
  <si>
    <t>紐西蘭</t>
    <phoneticPr fontId="10" type="noConversion"/>
  </si>
  <si>
    <t>哥倫比亞</t>
    <phoneticPr fontId="4" type="noConversion"/>
  </si>
  <si>
    <t>馬來西亞</t>
    <phoneticPr fontId="4" type="noConversion"/>
  </si>
  <si>
    <t>其它國家</t>
  </si>
  <si>
    <t>總  計</t>
  </si>
  <si>
    <t>資料來源: 經濟部國貿局,臺灣自行車輸出業同業公會整理</t>
    <phoneticPr fontId="4" type="noConversion"/>
  </si>
  <si>
    <t>數量(台)</t>
  </si>
  <si>
    <t>金額(US$)</t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</si>
  <si>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</si>
  <si>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</si>
  <si>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</si>
  <si>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r>
      <t>CCC CODE: 87120010</t>
    </r>
    <r>
      <rPr>
        <sz val="12"/>
        <color theme="1"/>
        <rFont val="新細明體"/>
        <family val="2"/>
        <charset val="136"/>
        <scheme val="minor"/>
      </rPr>
      <t>(Bicycles)</t>
    </r>
    <phoneticPr fontId="6" type="noConversion"/>
  </si>
  <si>
    <t>數量: (台)        金額: (US$)</t>
  </si>
  <si>
    <t>月 別</t>
  </si>
  <si>
    <t>出口單月</t>
  </si>
  <si>
    <t>北  美</t>
  </si>
  <si>
    <t>歐  洲</t>
  </si>
  <si>
    <t>亞  洲</t>
  </si>
  <si>
    <t>中南美</t>
  </si>
  <si>
    <t>中  東</t>
  </si>
  <si>
    <t>大洋洲</t>
  </si>
  <si>
    <t>非  洲</t>
  </si>
  <si>
    <t>其  他</t>
  </si>
  <si>
    <t>數量/金額</t>
  </si>
  <si>
    <t>總 計</t>
  </si>
  <si>
    <t>月 份</t>
  </si>
  <si>
    <t>出口總數量(台)</t>
  </si>
  <si>
    <t>出口總金額(US$)</t>
  </si>
  <si>
    <t>累計平均單價</t>
    <phoneticPr fontId="4" type="noConversion"/>
  </si>
  <si>
    <t>(US$)</t>
    <phoneticPr fontId="6" type="noConversion"/>
  </si>
  <si>
    <t>資料來源: 經濟部國貿局,臺灣自行車輸出業同業公會整理</t>
  </si>
  <si>
    <t>輪幅</t>
    <phoneticPr fontId="4" type="noConversion"/>
  </si>
  <si>
    <t>輪圈及輪幅</t>
    <phoneticPr fontId="4" type="noConversion"/>
  </si>
  <si>
    <t>-</t>
    <phoneticPr fontId="4" type="noConversion"/>
  </si>
  <si>
    <t>資料來源: 經濟部國貿局,臺灣自行車輸出業同業公會整理</t>
    <phoneticPr fontId="10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</si>
  <si>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</si>
  <si>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品    名</t>
  </si>
  <si>
    <t>腳踏車用電器</t>
  </si>
  <si>
    <t>照明設備</t>
  </si>
  <si>
    <t>(</t>
  </si>
  <si>
    <t>腳踏車照明視</t>
  </si>
  <si>
    <t>覺信號設備</t>
  </si>
  <si>
    <t>pce)</t>
  </si>
  <si>
    <t>其他車架.前叉</t>
  </si>
  <si>
    <t>及相關零件</t>
  </si>
  <si>
    <t>輪圈</t>
  </si>
  <si>
    <t>輪轂(倒煞車輪</t>
  </si>
  <si>
    <t>及輪轂煞車除</t>
  </si>
  <si>
    <t>外)</t>
  </si>
  <si>
    <t>煞車鋼線及其</t>
  </si>
  <si>
    <t>零件</t>
  </si>
  <si>
    <t>其他煞車器及</t>
  </si>
  <si>
    <t>其零件</t>
  </si>
  <si>
    <t>腳踏車車座</t>
  </si>
  <si>
    <t>踏板及其零件</t>
  </si>
  <si>
    <t>曲柄齒輪及其</t>
  </si>
  <si>
    <t>腳踏車用滾子</t>
  </si>
  <si>
    <t>鏈</t>
  </si>
  <si>
    <t>腳踏車用變速</t>
  </si>
  <si>
    <t>器</t>
  </si>
  <si>
    <t>腳踏車用軸心</t>
  </si>
  <si>
    <t>腳踏車用把手</t>
  </si>
  <si>
    <t>豎管</t>
  </si>
  <si>
    <t>腳踏車用座管</t>
  </si>
  <si>
    <t>及上下管</t>
  </si>
  <si>
    <t>腳踏車用新橡</t>
  </si>
  <si>
    <t>膠氣胎</t>
  </si>
  <si>
    <t>腳踏車用橡膠</t>
  </si>
  <si>
    <t>內胎</t>
  </si>
  <si>
    <t>總    計</t>
  </si>
  <si>
    <r>
      <t>品</t>
    </r>
    <r>
      <rPr>
        <sz val="12"/>
        <color theme="1"/>
        <rFont val="新細明體"/>
        <family val="2"/>
        <charset val="136"/>
        <scheme val="minor"/>
      </rPr>
      <t xml:space="preserve">      </t>
    </r>
    <r>
      <rPr>
        <sz val="12"/>
        <rFont val="華康仿宋體"/>
        <family val="3"/>
        <charset val="136"/>
      </rPr>
      <t>名</t>
    </r>
    <phoneticPr fontId="4" type="noConversion"/>
  </si>
  <si>
    <t>數量(kg)</t>
    <phoneticPr fontId="4" type="noConversion"/>
  </si>
  <si>
    <t>金額(US$)</t>
    <phoneticPr fontId="4" type="noConversion"/>
  </si>
  <si>
    <t>及輪轂煞車除外</t>
    <phoneticPr fontId="4" type="noConversion"/>
  </si>
  <si>
    <t>出口國家</t>
  </si>
  <si>
    <t>金額(FOB-US$)</t>
  </si>
  <si>
    <t>進口國家</t>
  </si>
  <si>
    <t>金額(CIF-US$)</t>
  </si>
  <si>
    <t>其他國家</t>
  </si>
  <si>
    <t>總計</t>
  </si>
  <si>
    <t>CCC CODE: 87120010 Bicycles</t>
    <phoneticPr fontId="6" type="noConversion"/>
  </si>
  <si>
    <r>
      <t>平均單價</t>
    </r>
    <r>
      <rPr>
        <sz val="9"/>
        <color indexed="8"/>
        <rFont val="Times New Roman"/>
        <family val="1"/>
      </rPr>
      <t>(US$)</t>
    </r>
    <phoneticPr fontId="4" type="noConversion"/>
  </si>
  <si>
    <t>平均單價(US$)</t>
    <phoneticPr fontId="4" type="noConversion"/>
  </si>
  <si>
    <t>平均單價(US$)</t>
    <phoneticPr fontId="4" type="noConversion"/>
  </si>
  <si>
    <t>澳大利亞</t>
    <phoneticPr fontId="4" type="noConversion"/>
  </si>
  <si>
    <t>柬埔寨</t>
    <phoneticPr fontId="10" type="noConversion"/>
  </si>
  <si>
    <t>馬來西亞</t>
    <phoneticPr fontId="4" type="noConversion"/>
  </si>
  <si>
    <t>中國大陸</t>
    <phoneticPr fontId="4" type="noConversion"/>
  </si>
  <si>
    <t>累計平均單價</t>
    <phoneticPr fontId="4" type="noConversion"/>
  </si>
  <si>
    <t>(US$)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</si>
  <si>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</si>
  <si>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平均單價(US$)</t>
    <phoneticPr fontId="4" type="noConversion"/>
  </si>
  <si>
    <t>.</t>
    <phoneticPr fontId="4" type="noConversion"/>
  </si>
  <si>
    <t>資料來源: 經濟部國貿局,臺灣自行車輸出業同業公會整理</t>
    <phoneticPr fontId="10" type="noConversion"/>
  </si>
  <si>
    <t>單位: 台(UNIT)</t>
  </si>
  <si>
    <t>金額: US$(FOB)</t>
  </si>
  <si>
    <t>日期: 2020/6</t>
    <phoneticPr fontId="4" type="noConversion"/>
  </si>
  <si>
    <t xml:space="preserve"> 一月</t>
    <phoneticPr fontId="4" type="noConversion"/>
  </si>
  <si>
    <t>二月</t>
  </si>
  <si>
    <t>三月</t>
  </si>
  <si>
    <t>四月</t>
  </si>
  <si>
    <t>五月</t>
  </si>
  <si>
    <t>六月</t>
  </si>
  <si>
    <t>七月</t>
  </si>
  <si>
    <t>八月</t>
  </si>
  <si>
    <t>九月</t>
  </si>
  <si>
    <t>十月</t>
  </si>
  <si>
    <t>十一月</t>
  </si>
  <si>
    <t>十二月</t>
  </si>
  <si>
    <t>輸出國家</t>
  </si>
  <si>
    <t>數量</t>
    <phoneticPr fontId="4" type="noConversion"/>
  </si>
  <si>
    <t>金額</t>
    <phoneticPr fontId="4" type="noConversion"/>
  </si>
  <si>
    <t>數量</t>
  </si>
  <si>
    <t>金額</t>
  </si>
  <si>
    <t>亞洲</t>
  </si>
  <si>
    <t>歐洲</t>
  </si>
  <si>
    <t>歐洲其它國家</t>
  </si>
  <si>
    <t>北美洲(NAFTA)</t>
  </si>
  <si>
    <t>中東</t>
  </si>
  <si>
    <t>N ANTIL(AN)</t>
  </si>
  <si>
    <t>FRENCH(PF)</t>
  </si>
  <si>
    <t>MYANMAR(MM)</t>
  </si>
  <si>
    <t>一月</t>
    <phoneticPr fontId="4" type="noConversion"/>
  </si>
  <si>
    <t>CODE NO 87120090004</t>
    <phoneticPr fontId="3" type="noConversion"/>
  </si>
  <si>
    <t>OTHER CYCLES</t>
    <phoneticPr fontId="4" type="noConversion"/>
  </si>
  <si>
    <r>
      <rPr>
        <sz val="12"/>
        <rFont val="SimSun"/>
        <charset val="134"/>
      </rPr>
      <t>產品</t>
    </r>
    <r>
      <rPr>
        <sz val="12"/>
        <rFont val="華康仿宋體"/>
        <family val="1"/>
      </rPr>
      <t xml:space="preserve">: </t>
    </r>
    <r>
      <rPr>
        <sz val="12"/>
        <rFont val="MS Gothic"/>
        <family val="3"/>
        <charset val="128"/>
      </rPr>
      <t>自行車</t>
    </r>
    <r>
      <rPr>
        <sz val="12"/>
        <rFont val="華康仿宋體"/>
        <family val="1"/>
      </rPr>
      <t>(CCC CODE 87120010)</t>
    </r>
    <phoneticPr fontId="4" type="noConversion"/>
  </si>
  <si>
    <t>CCC CODE: 87120090004 (Other Cycles)</t>
    <phoneticPr fontId="3" type="noConversion"/>
  </si>
  <si>
    <t>CCC CODE:  87120010109(Folding Bicycles)</t>
    <phoneticPr fontId="4" type="noConversion"/>
  </si>
  <si>
    <t>pce)</t>
    <phoneticPr fontId="3" type="noConversion"/>
  </si>
  <si>
    <t>CCC CODE:  87120010109(Folding Bicycles)</t>
    <phoneticPr fontId="3" type="noConversion"/>
  </si>
  <si>
    <t>ccc code : 87116020007 ( Cycles with electric motor for propulsion)  &amp;</t>
    <phoneticPr fontId="10" type="noConversion"/>
  </si>
  <si>
    <t xml:space="preserve">               87119030900 (Other cycles fitted with other auxiliary motor)</t>
    <phoneticPr fontId="10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</si>
  <si>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rgb="FFFF0000"/>
        <rFont val="華康仿宋體"/>
        <family val="1"/>
        <charset val="136"/>
      </rPr>
      <t>減</t>
    </r>
    <phoneticPr fontId="4" type="noConversion"/>
  </si>
  <si>
    <r>
      <rPr>
        <sz val="12"/>
        <rFont val="華康仿宋體"/>
        <family val="3"/>
        <charset val="136"/>
      </rPr>
      <t>增</t>
    </r>
    <r>
      <rPr>
        <sz val="12"/>
        <rFont val="華康仿宋體"/>
        <family val="1"/>
        <charset val="136"/>
      </rPr>
      <t>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</si>
  <si>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 xml:space="preserve">                 87119030900 (  Other cycles fitted with other auxiliary motor )</t>
    <phoneticPr fontId="10" type="noConversion"/>
  </si>
  <si>
    <t>荷蘭</t>
    <phoneticPr fontId="3" type="noConversion"/>
  </si>
  <si>
    <t>英國</t>
    <phoneticPr fontId="3" type="noConversion"/>
  </si>
  <si>
    <t>美國</t>
    <phoneticPr fontId="3" type="noConversion"/>
  </si>
  <si>
    <t>德國</t>
    <phoneticPr fontId="3" type="noConversion"/>
  </si>
  <si>
    <t>丹麥</t>
    <phoneticPr fontId="3" type="noConversion"/>
  </si>
  <si>
    <t>捷克</t>
    <phoneticPr fontId="3" type="noConversion"/>
  </si>
  <si>
    <t>沙烏地阿拉伯</t>
    <phoneticPr fontId="3" type="noConversion"/>
  </si>
  <si>
    <t>中國大陸</t>
    <phoneticPr fontId="3" type="noConversion"/>
  </si>
  <si>
    <t>芬蘭</t>
    <phoneticPr fontId="3" type="noConversion"/>
  </si>
  <si>
    <t>法國</t>
    <phoneticPr fontId="3" type="noConversion"/>
  </si>
  <si>
    <t>泰國</t>
    <phoneticPr fontId="3" type="noConversion"/>
  </si>
  <si>
    <t>匈牙利</t>
    <phoneticPr fontId="3" type="noConversion"/>
  </si>
  <si>
    <t>加拿大</t>
    <phoneticPr fontId="3" type="noConversion"/>
  </si>
  <si>
    <t>紐西蘭</t>
    <phoneticPr fontId="3" type="noConversion"/>
  </si>
  <si>
    <t>澳大利亞</t>
    <phoneticPr fontId="3" type="noConversion"/>
  </si>
  <si>
    <t>波蘭</t>
    <phoneticPr fontId="3" type="noConversion"/>
  </si>
  <si>
    <t>韓國</t>
    <phoneticPr fontId="3" type="noConversion"/>
  </si>
  <si>
    <t>西班牙</t>
    <phoneticPr fontId="3" type="noConversion"/>
  </si>
  <si>
    <t>柬埔寨</t>
    <phoneticPr fontId="3" type="noConversion"/>
  </si>
  <si>
    <t>印尼</t>
    <phoneticPr fontId="3" type="noConversion"/>
  </si>
  <si>
    <t>越南</t>
    <phoneticPr fontId="3" type="noConversion"/>
  </si>
  <si>
    <t>馬來西亞</t>
    <phoneticPr fontId="3" type="noConversion"/>
  </si>
  <si>
    <t>瑞士</t>
    <phoneticPr fontId="3" type="noConversion"/>
  </si>
  <si>
    <t>南非</t>
    <phoneticPr fontId="3" type="noConversion"/>
  </si>
  <si>
    <t>保加利亞</t>
    <phoneticPr fontId="3" type="noConversion"/>
  </si>
  <si>
    <t>奧地利</t>
    <phoneticPr fontId="3" type="noConversion"/>
  </si>
  <si>
    <t>多明尼加</t>
    <phoneticPr fontId="3" type="noConversion"/>
  </si>
  <si>
    <t>比利時</t>
    <phoneticPr fontId="3" type="noConversion"/>
  </si>
  <si>
    <t>巴西</t>
    <phoneticPr fontId="3" type="noConversion"/>
  </si>
  <si>
    <t>羅馬尼亞</t>
    <phoneticPr fontId="3" type="noConversion"/>
  </si>
  <si>
    <t>葡萄牙</t>
    <phoneticPr fontId="3" type="noConversion"/>
  </si>
  <si>
    <t>菲律賓</t>
    <phoneticPr fontId="3" type="noConversion"/>
  </si>
  <si>
    <t>宏都拉斯</t>
    <phoneticPr fontId="3" type="noConversion"/>
  </si>
  <si>
    <t>愛爾蘭</t>
    <phoneticPr fontId="3" type="noConversion"/>
  </si>
  <si>
    <t>以色列</t>
    <phoneticPr fontId="3" type="noConversion"/>
  </si>
  <si>
    <t>墨西哥</t>
    <phoneticPr fontId="3" type="noConversion"/>
  </si>
  <si>
    <t>突尼西亞</t>
    <phoneticPr fontId="3" type="noConversion"/>
  </si>
  <si>
    <t>印度</t>
    <phoneticPr fontId="3" type="noConversion"/>
  </si>
  <si>
    <t>喀麥隆</t>
    <phoneticPr fontId="3" type="noConversion"/>
  </si>
  <si>
    <r>
      <rPr>
        <sz val="12"/>
        <rFont val="新細明體"/>
        <family val="1"/>
        <charset val="136"/>
      </rPr>
      <t>美國</t>
    </r>
    <phoneticPr fontId="6" type="noConversion"/>
  </si>
  <si>
    <r>
      <rPr>
        <sz val="12"/>
        <rFont val="新細明體"/>
        <family val="1"/>
        <charset val="136"/>
      </rPr>
      <t>荷蘭</t>
    </r>
    <phoneticPr fontId="3" type="noConversion"/>
  </si>
  <si>
    <r>
      <rPr>
        <sz val="12"/>
        <rFont val="新細明體"/>
        <family val="1"/>
        <charset val="136"/>
      </rPr>
      <t>德國</t>
    </r>
    <phoneticPr fontId="3" type="noConversion"/>
  </si>
  <si>
    <r>
      <rPr>
        <sz val="12"/>
        <rFont val="新細明體"/>
        <family val="1"/>
        <charset val="136"/>
      </rPr>
      <t>法國</t>
    </r>
    <phoneticPr fontId="3" type="noConversion"/>
  </si>
  <si>
    <r>
      <rPr>
        <sz val="12"/>
        <rFont val="新細明體"/>
        <family val="1"/>
        <charset val="136"/>
      </rPr>
      <t>丹麥</t>
    </r>
    <phoneticPr fontId="3" type="noConversion"/>
  </si>
  <si>
    <t>葡萄牙</t>
    <phoneticPr fontId="6" type="noConversion"/>
  </si>
  <si>
    <r>
      <rPr>
        <sz val="12"/>
        <rFont val="新細明體"/>
        <family val="1"/>
        <charset val="136"/>
      </rPr>
      <t>希臘</t>
    </r>
    <phoneticPr fontId="3" type="noConversion"/>
  </si>
  <si>
    <r>
      <rPr>
        <sz val="12"/>
        <rFont val="新細明體"/>
        <family val="1"/>
        <charset val="136"/>
      </rPr>
      <t>瑞典</t>
    </r>
    <phoneticPr fontId="3" type="noConversion"/>
  </si>
  <si>
    <r>
      <rPr>
        <sz val="12"/>
        <rFont val="新細明體"/>
        <family val="1"/>
        <charset val="136"/>
      </rPr>
      <t>芬蘭</t>
    </r>
    <phoneticPr fontId="3" type="noConversion"/>
  </si>
  <si>
    <t>波蘭</t>
    <phoneticPr fontId="6" type="noConversion"/>
  </si>
  <si>
    <t>捷克</t>
    <phoneticPr fontId="6" type="noConversion"/>
  </si>
  <si>
    <t>匈牙利</t>
    <phoneticPr fontId="6" type="noConversion"/>
  </si>
  <si>
    <t>馬爾他</t>
    <phoneticPr fontId="6" type="noConversion"/>
  </si>
  <si>
    <t>愛沙尼亞</t>
    <phoneticPr fontId="6" type="noConversion"/>
  </si>
  <si>
    <t>拉脫維亞</t>
    <phoneticPr fontId="6" type="noConversion"/>
  </si>
  <si>
    <t>立陶宛</t>
    <phoneticPr fontId="6" type="noConversion"/>
  </si>
  <si>
    <t>賽普勒斯</t>
    <phoneticPr fontId="6" type="noConversion"/>
  </si>
  <si>
    <t>羅馬尼亞</t>
    <phoneticPr fontId="6" type="noConversion"/>
  </si>
  <si>
    <t>保加利亞</t>
    <phoneticPr fontId="6" type="noConversion"/>
  </si>
  <si>
    <r>
      <rPr>
        <sz val="12"/>
        <rFont val="新細明體"/>
        <family val="1"/>
        <charset val="136"/>
      </rPr>
      <t>瑞士</t>
    </r>
    <phoneticPr fontId="3" type="noConversion"/>
  </si>
  <si>
    <r>
      <rPr>
        <sz val="12"/>
        <rFont val="新細明體"/>
        <family val="1"/>
        <charset val="136"/>
      </rPr>
      <t>挪威</t>
    </r>
    <phoneticPr fontId="3" type="noConversion"/>
  </si>
  <si>
    <r>
      <rPr>
        <sz val="12"/>
        <rFont val="新細明體"/>
        <family val="1"/>
        <charset val="136"/>
      </rPr>
      <t>冰島</t>
    </r>
    <phoneticPr fontId="3" type="noConversion"/>
  </si>
  <si>
    <r>
      <rPr>
        <sz val="12"/>
        <rFont val="新細明體"/>
        <family val="1"/>
        <charset val="136"/>
      </rPr>
      <t>日本</t>
    </r>
    <phoneticPr fontId="3" type="noConversion"/>
  </si>
  <si>
    <t>阿拉伯聯合大公國</t>
    <phoneticPr fontId="3" type="noConversion"/>
  </si>
  <si>
    <r>
      <rPr>
        <sz val="12"/>
        <rFont val="新細明體"/>
        <family val="1"/>
        <charset val="136"/>
      </rPr>
      <t>巴西</t>
    </r>
    <phoneticPr fontId="3" type="noConversion"/>
  </si>
  <si>
    <r>
      <rPr>
        <sz val="12"/>
        <rFont val="新細明體"/>
        <family val="1"/>
        <charset val="136"/>
      </rPr>
      <t>智利</t>
    </r>
    <phoneticPr fontId="3" type="noConversion"/>
  </si>
  <si>
    <t>澳大利亞</t>
    <phoneticPr fontId="6" type="noConversion"/>
  </si>
  <si>
    <t>中國大陸</t>
    <phoneticPr fontId="6" type="noConversion"/>
  </si>
  <si>
    <t>南非</t>
    <phoneticPr fontId="10" type="noConversion"/>
  </si>
  <si>
    <t>印尼</t>
    <phoneticPr fontId="4" type="noConversion"/>
  </si>
  <si>
    <t>泰國</t>
    <phoneticPr fontId="4" type="noConversion"/>
  </si>
  <si>
    <r>
      <t xml:space="preserve">             (</t>
    </r>
    <r>
      <rPr>
        <sz val="10"/>
        <rFont val="新細明體"/>
        <family val="1"/>
        <charset val="136"/>
      </rPr>
      <t>包含其他二輪腳踏車</t>
    </r>
    <r>
      <rPr>
        <sz val="10"/>
        <rFont val="細明體-ExtB"/>
        <family val="1"/>
        <charset val="136"/>
      </rPr>
      <t xml:space="preserve"> 87120010902</t>
    </r>
    <r>
      <rPr>
        <sz val="10"/>
        <rFont val="新細明體"/>
        <family val="1"/>
        <charset val="136"/>
      </rPr>
      <t>及折疊式腳踏車</t>
    </r>
    <r>
      <rPr>
        <sz val="10"/>
        <rFont val="細明體-ExtB"/>
        <family val="1"/>
        <charset val="136"/>
      </rPr>
      <t>87120010109)</t>
    </r>
    <phoneticPr fontId="3" type="noConversion"/>
  </si>
  <si>
    <r>
      <rPr>
        <sz val="12"/>
        <rFont val="新細明體"/>
        <family val="1"/>
        <charset val="136"/>
      </rPr>
      <t>新加坡</t>
    </r>
    <phoneticPr fontId="3" type="noConversion"/>
  </si>
  <si>
    <t>香港</t>
    <phoneticPr fontId="3" type="noConversion"/>
  </si>
  <si>
    <t>尼泊爾</t>
    <phoneticPr fontId="3" type="noConversion"/>
  </si>
  <si>
    <t>孟加拉</t>
    <phoneticPr fontId="3" type="noConversion"/>
  </si>
  <si>
    <t>澳門</t>
    <phoneticPr fontId="3" type="noConversion"/>
  </si>
  <si>
    <t>斯里蘭卡</t>
    <phoneticPr fontId="3" type="noConversion"/>
  </si>
  <si>
    <t>巴基斯坦</t>
    <phoneticPr fontId="3" type="noConversion"/>
  </si>
  <si>
    <t>阿富汗</t>
    <phoneticPr fontId="3" type="noConversion"/>
  </si>
  <si>
    <t>中國大陸</t>
  </si>
  <si>
    <t>北韓</t>
    <phoneticPr fontId="3" type="noConversion"/>
  </si>
  <si>
    <t>馬爾地夫</t>
    <phoneticPr fontId="3" type="noConversion"/>
  </si>
  <si>
    <t>汶萊</t>
    <phoneticPr fontId="3" type="noConversion"/>
  </si>
  <si>
    <t>哈薩克</t>
    <phoneticPr fontId="4" type="noConversion"/>
  </si>
  <si>
    <t>蒙古</t>
    <phoneticPr fontId="4" type="noConversion"/>
  </si>
  <si>
    <t>荷蘭</t>
  </si>
  <si>
    <t>德國</t>
  </si>
  <si>
    <t>法國</t>
  </si>
  <si>
    <r>
      <rPr>
        <sz val="12"/>
        <rFont val="新細明體"/>
        <family val="1"/>
        <charset val="136"/>
      </rPr>
      <t>義大利</t>
    </r>
    <phoneticPr fontId="3" type="noConversion"/>
  </si>
  <si>
    <t>丹麥</t>
  </si>
  <si>
    <t>希臘</t>
  </si>
  <si>
    <t>希臘</t>
    <phoneticPr fontId="3" type="noConversion"/>
  </si>
  <si>
    <t>盧森堡</t>
    <phoneticPr fontId="3" type="noConversion"/>
  </si>
  <si>
    <t>瑞典</t>
  </si>
  <si>
    <t>瑞典</t>
    <phoneticPr fontId="3" type="noConversion"/>
  </si>
  <si>
    <t>芬蘭</t>
  </si>
  <si>
    <t>波蘭</t>
  </si>
  <si>
    <t>捷克</t>
  </si>
  <si>
    <t>匈牙利</t>
  </si>
  <si>
    <t>馬爾他</t>
  </si>
  <si>
    <t>馬爾他</t>
    <phoneticPr fontId="3" type="noConversion"/>
  </si>
  <si>
    <t>斯洛維尼亞</t>
  </si>
  <si>
    <t>斯洛維尼亞</t>
    <phoneticPr fontId="3" type="noConversion"/>
  </si>
  <si>
    <t>斯洛伐克</t>
  </si>
  <si>
    <t>愛沙尼亞</t>
  </si>
  <si>
    <t>愛沙尼亞</t>
    <phoneticPr fontId="3" type="noConversion"/>
  </si>
  <si>
    <r>
      <rPr>
        <sz val="12"/>
        <rFont val="新細明體"/>
        <family val="1"/>
        <charset val="136"/>
      </rPr>
      <t>拉脫維亞</t>
    </r>
    <phoneticPr fontId="3" type="noConversion"/>
  </si>
  <si>
    <t>立陶宛</t>
  </si>
  <si>
    <t>立陶宛</t>
    <phoneticPr fontId="3" type="noConversion"/>
  </si>
  <si>
    <t>羅馬尼亞</t>
  </si>
  <si>
    <t>保加利亞</t>
  </si>
  <si>
    <t>克羅埃西亞</t>
  </si>
  <si>
    <t>克羅埃西亞</t>
    <phoneticPr fontId="3" type="noConversion"/>
  </si>
  <si>
    <t>挪威</t>
    <phoneticPr fontId="3" type="noConversion"/>
  </si>
  <si>
    <t>冰島</t>
    <phoneticPr fontId="3" type="noConversion"/>
  </si>
  <si>
    <t>摩納哥</t>
    <phoneticPr fontId="3" type="noConversion"/>
  </si>
  <si>
    <t>列支斯敦</t>
    <phoneticPr fontId="3" type="noConversion"/>
  </si>
  <si>
    <t>俄羅斯</t>
  </si>
  <si>
    <t>俄羅斯</t>
    <phoneticPr fontId="3" type="noConversion"/>
  </si>
  <si>
    <t>南斯拉夫</t>
    <phoneticPr fontId="3" type="noConversion"/>
  </si>
  <si>
    <t>安道爾</t>
    <phoneticPr fontId="3" type="noConversion"/>
  </si>
  <si>
    <t>喬治亞</t>
    <phoneticPr fontId="3" type="noConversion"/>
  </si>
  <si>
    <t>烏克蘭</t>
  </si>
  <si>
    <t>烏克蘭</t>
    <phoneticPr fontId="3" type="noConversion"/>
  </si>
  <si>
    <r>
      <rPr>
        <sz val="12"/>
        <rFont val="新細明體"/>
        <family val="1"/>
        <charset val="136"/>
      </rPr>
      <t>格凌蘭</t>
    </r>
    <r>
      <rPr>
        <sz val="12"/>
        <rFont val="細明體-ExtB"/>
        <family val="1"/>
        <charset val="136"/>
      </rPr>
      <t xml:space="preserve"> </t>
    </r>
    <phoneticPr fontId="4" type="noConversion"/>
  </si>
  <si>
    <t>白俄羅斯</t>
    <phoneticPr fontId="3" type="noConversion"/>
  </si>
  <si>
    <r>
      <rPr>
        <sz val="12"/>
        <rFont val="新細明體"/>
        <family val="1"/>
        <charset val="136"/>
      </rPr>
      <t>波士尼亞</t>
    </r>
    <r>
      <rPr>
        <sz val="12"/>
        <rFont val="細明體-ExtB"/>
        <family val="1"/>
        <charset val="136"/>
      </rPr>
      <t xml:space="preserve"> </t>
    </r>
    <phoneticPr fontId="4" type="noConversion"/>
  </si>
  <si>
    <t>新幾內亞</t>
    <phoneticPr fontId="3" type="noConversion"/>
  </si>
  <si>
    <t>紐西蘭</t>
  </si>
  <si>
    <t>關島</t>
    <phoneticPr fontId="3" type="noConversion"/>
  </si>
  <si>
    <t>大溪地</t>
    <phoneticPr fontId="3" type="noConversion"/>
  </si>
  <si>
    <t>斐濟</t>
    <phoneticPr fontId="3" type="noConversion"/>
  </si>
  <si>
    <t>所羅門群島</t>
    <phoneticPr fontId="3" type="noConversion"/>
  </si>
  <si>
    <t>東加</t>
    <phoneticPr fontId="3" type="noConversion"/>
  </si>
  <si>
    <t>帛琉群島</t>
    <phoneticPr fontId="3" type="noConversion"/>
  </si>
  <si>
    <t>貝里斯</t>
    <phoneticPr fontId="3" type="noConversion"/>
  </si>
  <si>
    <t>巴哈馬</t>
    <phoneticPr fontId="3" type="noConversion"/>
  </si>
  <si>
    <t>巴西</t>
  </si>
  <si>
    <t>阿根廷</t>
    <phoneticPr fontId="3" type="noConversion"/>
  </si>
  <si>
    <t>哥倫比亞</t>
    <phoneticPr fontId="3" type="noConversion"/>
  </si>
  <si>
    <t>巴拿馬</t>
    <phoneticPr fontId="3" type="noConversion"/>
  </si>
  <si>
    <t>巴拉圭</t>
    <phoneticPr fontId="3" type="noConversion"/>
  </si>
  <si>
    <t>哥斯大黎加</t>
    <phoneticPr fontId="3" type="noConversion"/>
  </si>
  <si>
    <t>智利</t>
  </si>
  <si>
    <t>智利</t>
    <phoneticPr fontId="3" type="noConversion"/>
  </si>
  <si>
    <t>瓜地馬拉</t>
    <phoneticPr fontId="3" type="noConversion"/>
  </si>
  <si>
    <t>委內瑞拉</t>
    <phoneticPr fontId="3" type="noConversion"/>
  </si>
  <si>
    <t>波多黎各</t>
    <phoneticPr fontId="3" type="noConversion"/>
  </si>
  <si>
    <t>薩爾瓦多</t>
    <phoneticPr fontId="3" type="noConversion"/>
  </si>
  <si>
    <t>玻利維亞</t>
    <phoneticPr fontId="3" type="noConversion"/>
  </si>
  <si>
    <t>尼加拉瓜</t>
    <phoneticPr fontId="3" type="noConversion"/>
  </si>
  <si>
    <t>蓋亞納</t>
    <phoneticPr fontId="3" type="noConversion"/>
  </si>
  <si>
    <t>瓜德魯普島</t>
    <phoneticPr fontId="3" type="noConversion"/>
  </si>
  <si>
    <t>牙買加</t>
    <phoneticPr fontId="3" type="noConversion"/>
  </si>
  <si>
    <t>海地</t>
    <phoneticPr fontId="3" type="noConversion"/>
  </si>
  <si>
    <t>吉里巴斯</t>
    <phoneticPr fontId="3" type="noConversion"/>
  </si>
  <si>
    <t>烏拉圭</t>
    <phoneticPr fontId="3" type="noConversion"/>
  </si>
  <si>
    <t>巴貝多</t>
    <phoneticPr fontId="3" type="noConversion"/>
  </si>
  <si>
    <t>多米尼克</t>
    <phoneticPr fontId="3" type="noConversion"/>
  </si>
  <si>
    <r>
      <rPr>
        <sz val="12"/>
        <rFont val="新細明體"/>
        <family val="1"/>
        <charset val="136"/>
      </rPr>
      <t>聖露西亞</t>
    </r>
    <phoneticPr fontId="3" type="noConversion"/>
  </si>
  <si>
    <t>蘇利南</t>
    <phoneticPr fontId="3" type="noConversion"/>
  </si>
  <si>
    <t>古巴</t>
    <phoneticPr fontId="3" type="noConversion"/>
  </si>
  <si>
    <t>百慕達</t>
    <phoneticPr fontId="3" type="noConversion"/>
  </si>
  <si>
    <t>法屬圭亞納</t>
    <phoneticPr fontId="3" type="noConversion"/>
  </si>
  <si>
    <t>科威特</t>
    <phoneticPr fontId="3" type="noConversion"/>
  </si>
  <si>
    <t>伊朗</t>
    <phoneticPr fontId="3" type="noConversion"/>
  </si>
  <si>
    <t>土耳其</t>
    <phoneticPr fontId="3" type="noConversion"/>
  </si>
  <si>
    <t>黎巴嫩</t>
    <phoneticPr fontId="3" type="noConversion"/>
  </si>
  <si>
    <t>約旦</t>
    <phoneticPr fontId="3" type="noConversion"/>
  </si>
  <si>
    <t>巴林</t>
    <phoneticPr fontId="3" type="noConversion"/>
  </si>
  <si>
    <t>葉門</t>
    <phoneticPr fontId="3" type="noConversion"/>
  </si>
  <si>
    <t>卡達</t>
    <phoneticPr fontId="3" type="noConversion"/>
  </si>
  <si>
    <t>阿曼</t>
    <phoneticPr fontId="3" type="noConversion"/>
  </si>
  <si>
    <t>敘利亞</t>
    <phoneticPr fontId="3" type="noConversion"/>
  </si>
  <si>
    <t>伊拉克</t>
    <phoneticPr fontId="4" type="noConversion"/>
  </si>
  <si>
    <t>非洲</t>
    <phoneticPr fontId="3" type="noConversion"/>
  </si>
  <si>
    <t>南非</t>
  </si>
  <si>
    <t>肯亞</t>
    <phoneticPr fontId="3" type="noConversion"/>
  </si>
  <si>
    <t>馬達加斯加</t>
    <phoneticPr fontId="3" type="noConversion"/>
  </si>
  <si>
    <t>甘比亞</t>
    <phoneticPr fontId="3" type="noConversion"/>
  </si>
  <si>
    <t>迦納</t>
    <phoneticPr fontId="3" type="noConversion"/>
  </si>
  <si>
    <t>馬拉威</t>
    <phoneticPr fontId="3" type="noConversion"/>
  </si>
  <si>
    <t>吐瓦魯</t>
    <phoneticPr fontId="3" type="noConversion"/>
  </si>
  <si>
    <t>模里西斯</t>
    <phoneticPr fontId="3" type="noConversion"/>
  </si>
  <si>
    <t>留尼旺</t>
    <phoneticPr fontId="3" type="noConversion"/>
  </si>
  <si>
    <t>埃及</t>
    <phoneticPr fontId="3" type="noConversion"/>
  </si>
  <si>
    <t>利比亞</t>
    <phoneticPr fontId="3" type="noConversion"/>
  </si>
  <si>
    <t>象牙海岸</t>
    <phoneticPr fontId="3" type="noConversion"/>
  </si>
  <si>
    <t>辛巴威</t>
    <phoneticPr fontId="3" type="noConversion"/>
  </si>
  <si>
    <t>加彭</t>
    <phoneticPr fontId="3" type="noConversion"/>
  </si>
  <si>
    <t>獅子山</t>
    <phoneticPr fontId="3" type="noConversion"/>
  </si>
  <si>
    <t>奈及利亞</t>
    <phoneticPr fontId="3" type="noConversion"/>
  </si>
  <si>
    <t>尚比亞</t>
    <phoneticPr fontId="3" type="noConversion"/>
  </si>
  <si>
    <t>多哥</t>
    <phoneticPr fontId="3" type="noConversion"/>
  </si>
  <si>
    <t>阿爾及利亞</t>
    <phoneticPr fontId="3" type="noConversion"/>
  </si>
  <si>
    <t>納米比亞</t>
    <phoneticPr fontId="3" type="noConversion"/>
  </si>
  <si>
    <t>剛果</t>
    <phoneticPr fontId="3" type="noConversion"/>
  </si>
  <si>
    <t>蘇丹</t>
    <phoneticPr fontId="3" type="noConversion"/>
  </si>
  <si>
    <t>貝南</t>
    <phoneticPr fontId="3" type="noConversion"/>
  </si>
  <si>
    <t>法屬馬丁尼克</t>
    <phoneticPr fontId="3" type="noConversion"/>
  </si>
  <si>
    <t>伊索比亞</t>
    <phoneticPr fontId="3" type="noConversion"/>
  </si>
  <si>
    <t>莫三比克</t>
    <phoneticPr fontId="3" type="noConversion"/>
  </si>
  <si>
    <t>摩洛哥</t>
    <phoneticPr fontId="3" type="noConversion"/>
  </si>
  <si>
    <t>賴比瑞亞</t>
    <phoneticPr fontId="3" type="noConversion"/>
  </si>
  <si>
    <t>坦尚尼亞</t>
    <phoneticPr fontId="3" type="noConversion"/>
  </si>
  <si>
    <t>烏干達</t>
    <phoneticPr fontId="4" type="noConversion"/>
  </si>
  <si>
    <t>塞內加爾</t>
    <phoneticPr fontId="3" type="noConversion"/>
  </si>
  <si>
    <t>安哥拉</t>
    <phoneticPr fontId="4" type="noConversion"/>
  </si>
  <si>
    <t>幾內亞</t>
    <phoneticPr fontId="3" type="noConversion"/>
  </si>
  <si>
    <t>賴索托</t>
    <phoneticPr fontId="4" type="noConversion"/>
  </si>
  <si>
    <t>其它</t>
    <phoneticPr fontId="3" type="noConversion"/>
  </si>
  <si>
    <r>
      <rPr>
        <sz val="12"/>
        <rFont val="新細明體"/>
        <family val="1"/>
        <charset val="136"/>
      </rPr>
      <t>馬其頓</t>
    </r>
    <r>
      <rPr>
        <sz val="12"/>
        <rFont val="細明體-ExtB"/>
        <family val="1"/>
        <charset val="136"/>
      </rPr>
      <t xml:space="preserve"> </t>
    </r>
    <phoneticPr fontId="4" type="noConversion"/>
  </si>
  <si>
    <t>TRINID(TT)</t>
    <phoneticPr fontId="3" type="noConversion"/>
  </si>
  <si>
    <t>吉布地</t>
    <phoneticPr fontId="4" type="noConversion"/>
  </si>
  <si>
    <t>塞席爾</t>
    <phoneticPr fontId="3" type="noConversion"/>
  </si>
  <si>
    <t>北馬里亞納群島</t>
    <phoneticPr fontId="3" type="noConversion"/>
  </si>
  <si>
    <t>美屬維爾京群島</t>
    <phoneticPr fontId="4" type="noConversion"/>
  </si>
  <si>
    <t>密克羅尼西亞</t>
    <phoneticPr fontId="4" type="noConversion"/>
  </si>
  <si>
    <t>蒙瑟拉特島</t>
    <phoneticPr fontId="4" type="noConversion"/>
  </si>
  <si>
    <r>
      <rPr>
        <sz val="12"/>
        <rFont val="新細明體"/>
        <family val="1"/>
        <charset val="136"/>
      </rPr>
      <t>美國</t>
    </r>
    <phoneticPr fontId="3" type="noConversion"/>
  </si>
  <si>
    <t>賽普路斯</t>
    <phoneticPr fontId="6" type="noConversion"/>
  </si>
  <si>
    <t>香港</t>
    <phoneticPr fontId="6" type="noConversion"/>
  </si>
  <si>
    <t>拉脫維亞</t>
  </si>
  <si>
    <t>賽普路斯</t>
  </si>
  <si>
    <t>日本</t>
  </si>
  <si>
    <t>澳大利亞</t>
  </si>
  <si>
    <r>
      <rPr>
        <sz val="12"/>
        <rFont val="新細明體"/>
        <family val="3"/>
        <charset val="136"/>
      </rPr>
      <t>美</t>
    </r>
    <r>
      <rPr>
        <sz val="12"/>
        <rFont val="新細明體"/>
        <family val="1"/>
        <charset val="136"/>
      </rPr>
      <t>國</t>
    </r>
    <phoneticPr fontId="3" type="noConversion"/>
  </si>
  <si>
    <t>越南</t>
    <phoneticPr fontId="10" type="noConversion"/>
  </si>
  <si>
    <t>泰國</t>
    <phoneticPr fontId="6" type="noConversion"/>
  </si>
  <si>
    <t>澳門</t>
    <phoneticPr fontId="6" type="noConversion"/>
  </si>
  <si>
    <t>香港</t>
    <phoneticPr fontId="4" type="noConversion"/>
  </si>
  <si>
    <t xml:space="preserve"> set)</t>
  </si>
  <si>
    <t xml:space="preserve"> set)</t>
    <phoneticPr fontId="3" type="noConversion"/>
  </si>
  <si>
    <t>新克里多亞</t>
    <phoneticPr fontId="3" type="noConversion"/>
  </si>
  <si>
    <t>厄瓜多</t>
    <phoneticPr fontId="3" type="noConversion"/>
  </si>
  <si>
    <t>祕魯</t>
    <phoneticPr fontId="3" type="noConversion"/>
  </si>
  <si>
    <t>馬紹爾群島共和國</t>
    <phoneticPr fontId="4" type="noConversion"/>
  </si>
  <si>
    <t>阿魯巴</t>
    <phoneticPr fontId="4" type="noConversion"/>
  </si>
  <si>
    <t>澤西島</t>
    <phoneticPr fontId="4" type="noConversion"/>
  </si>
  <si>
    <r>
      <rPr>
        <sz val="12"/>
        <rFont val="新細明體"/>
        <family val="1"/>
        <charset val="136"/>
      </rPr>
      <t>總計</t>
    </r>
    <phoneticPr fontId="3" type="noConversion"/>
  </si>
  <si>
    <t>總計</t>
    <phoneticPr fontId="3" type="noConversion"/>
  </si>
  <si>
    <r>
      <rPr>
        <sz val="12"/>
        <rFont val="新細明體"/>
        <family val="1"/>
        <charset val="136"/>
      </rPr>
      <t>腳踏車用滾子鏈</t>
    </r>
    <r>
      <rPr>
        <sz val="12"/>
        <rFont val="華康仿宋體"/>
        <family val="1"/>
      </rPr>
      <t>(73151100209)</t>
    </r>
    <phoneticPr fontId="4" type="noConversion"/>
  </si>
  <si>
    <t>賽普勒斯</t>
    <phoneticPr fontId="3" type="noConversion"/>
  </si>
  <si>
    <t>史瓦帝尼王國</t>
    <phoneticPr fontId="3" type="noConversion"/>
  </si>
  <si>
    <t>裝有棘輪機構之單一鏈輪</t>
    <phoneticPr fontId="3" type="noConversion"/>
  </si>
  <si>
    <t>其他飛輪之鏈輪</t>
    <phoneticPr fontId="3" type="noConversion"/>
  </si>
  <si>
    <t>其他飛輪之鏈輪</t>
    <phoneticPr fontId="3" type="noConversion"/>
  </si>
  <si>
    <t>其他飛輪之鏈輪</t>
    <phoneticPr fontId="3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</si>
  <si>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</si>
  <si>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6" type="noConversion"/>
  </si>
  <si>
    <t>資料來源: 經濟部國貿局,臺灣自行車輸出業同業公會整理</t>
    <phoneticPr fontId="10" type="noConversion"/>
  </si>
  <si>
    <t>CCC CODE: 87120010(Bicycles)</t>
    <phoneticPr fontId="4" type="noConversion"/>
  </si>
  <si>
    <r>
      <rPr>
        <sz val="12"/>
        <rFont val="華康仿宋體"/>
        <family val="3"/>
        <charset val="136"/>
      </rPr>
      <t>增/</t>
    </r>
    <r>
      <rPr>
        <sz val="12"/>
        <color indexed="10"/>
        <rFont val="華康仿宋體"/>
        <family val="3"/>
        <charset val="136"/>
      </rPr>
      <t>減</t>
    </r>
    <phoneticPr fontId="4" type="noConversion"/>
  </si>
  <si>
    <t>資料來源: 經濟部國貿局,臺灣自行車輸出業同業公會整理</t>
    <phoneticPr fontId="4" type="noConversion"/>
  </si>
  <si>
    <t>CCC CODE: 87120010109 (Folding Bicycles)</t>
    <phoneticPr fontId="10" type="noConversion"/>
  </si>
  <si>
    <r>
      <rPr>
        <sz val="12"/>
        <color indexed="12"/>
        <rFont val="新細明體"/>
        <family val="1"/>
        <charset val="136"/>
      </rPr>
      <t>數量</t>
    </r>
    <r>
      <rPr>
        <sz val="12"/>
        <color indexed="12"/>
        <rFont val="Times New Roman"/>
        <family val="1"/>
      </rPr>
      <t>(</t>
    </r>
    <r>
      <rPr>
        <sz val="12"/>
        <color indexed="12"/>
        <rFont val="新細明體"/>
        <family val="1"/>
        <charset val="136"/>
      </rPr>
      <t>台</t>
    </r>
    <r>
      <rPr>
        <sz val="12"/>
        <color indexed="12"/>
        <rFont val="Times New Roman"/>
        <family val="1"/>
      </rPr>
      <t>)</t>
    </r>
  </si>
  <si>
    <r>
      <rPr>
        <sz val="12"/>
        <color indexed="12"/>
        <rFont val="新細明體"/>
        <family val="1"/>
        <charset val="136"/>
      </rPr>
      <t>金額</t>
    </r>
    <r>
      <rPr>
        <sz val="12"/>
        <color indexed="12"/>
        <rFont val="Times New Roman"/>
        <family val="1"/>
      </rPr>
      <t>(US$)</t>
    </r>
  </si>
  <si>
    <r>
      <rPr>
        <sz val="9"/>
        <color indexed="12"/>
        <rFont val="新細明體"/>
        <family val="1"/>
        <charset val="136"/>
      </rPr>
      <t>平均單價</t>
    </r>
    <r>
      <rPr>
        <sz val="9"/>
        <color indexed="12"/>
        <rFont val="Times New Roman"/>
        <family val="1"/>
      </rPr>
      <t>(US$)</t>
    </r>
    <phoneticPr fontId="4" type="noConversion"/>
  </si>
  <si>
    <t>CCC CODE: 87116020007 &amp; 87119030900</t>
    <phoneticPr fontId="3" type="noConversion"/>
  </si>
  <si>
    <t>2023年</t>
    <phoneticPr fontId="4" type="noConversion"/>
  </si>
  <si>
    <t>2022年</t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</si>
  <si>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</si>
  <si>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其他車架</t>
    </r>
    <r>
      <rPr>
        <sz val="12"/>
        <rFont val="華康仿宋體"/>
        <family val="1"/>
      </rPr>
      <t>,</t>
    </r>
    <r>
      <rPr>
        <sz val="12"/>
        <rFont val="新細明體"/>
        <family val="1"/>
        <charset val="136"/>
      </rPr>
      <t>前叉及其零件</t>
    </r>
    <r>
      <rPr>
        <sz val="12"/>
        <rFont val="華康仿宋體"/>
        <family val="1"/>
      </rPr>
      <t>(87149120007)</t>
    </r>
    <phoneticPr fontId="4" type="noConversion"/>
  </si>
  <si>
    <r>
      <rPr>
        <sz val="12"/>
        <rFont val="新細明體"/>
        <family val="1"/>
        <charset val="136"/>
      </rPr>
      <t>輪圈</t>
    </r>
    <r>
      <rPr>
        <sz val="12"/>
        <rFont val="細明體-ExtB"/>
        <family val="1"/>
        <charset val="136"/>
      </rPr>
      <t>(87149200108)</t>
    </r>
    <phoneticPr fontId="4" type="noConversion"/>
  </si>
  <si>
    <t>其他國家</t>
    <phoneticPr fontId="4" type="noConversion"/>
  </si>
  <si>
    <r>
      <rPr>
        <sz val="12"/>
        <rFont val="新細明體"/>
        <family val="1"/>
        <charset val="136"/>
      </rPr>
      <t>輪幅</t>
    </r>
    <r>
      <rPr>
        <sz val="12"/>
        <rFont val="華康仿宋體"/>
        <family val="1"/>
      </rPr>
      <t>(87149200206)</t>
    </r>
    <phoneticPr fontId="4" type="noConversion"/>
  </si>
  <si>
    <r>
      <rPr>
        <sz val="12"/>
        <rFont val="新細明體"/>
        <family val="1"/>
        <charset val="136"/>
      </rPr>
      <t>輪圈及輪幅</t>
    </r>
    <r>
      <rPr>
        <sz val="12"/>
        <rFont val="細明體-ExtB"/>
        <family val="1"/>
        <charset val="136"/>
      </rPr>
      <t>(87149200304)</t>
    </r>
    <phoneticPr fontId="4" type="noConversion"/>
  </si>
  <si>
    <r>
      <rPr>
        <sz val="12"/>
        <rFont val="新細明體"/>
        <family val="1"/>
        <charset val="136"/>
      </rPr>
      <t>輪轂</t>
    </r>
    <r>
      <rPr>
        <sz val="12"/>
        <rFont val="華康仿宋體"/>
        <family val="1"/>
      </rPr>
      <t>(</t>
    </r>
    <r>
      <rPr>
        <sz val="12"/>
        <rFont val="新細明體"/>
        <family val="1"/>
        <charset val="136"/>
      </rPr>
      <t>倒煞車輪及輪轂煞車除外</t>
    </r>
    <r>
      <rPr>
        <sz val="12"/>
        <rFont val="華康仿宋體"/>
        <family val="1"/>
      </rPr>
      <t>)(87149310007)</t>
    </r>
    <phoneticPr fontId="4" type="noConversion"/>
  </si>
  <si>
    <r>
      <rPr>
        <sz val="12"/>
        <rFont val="新細明體"/>
        <family val="1"/>
        <charset val="136"/>
      </rPr>
      <t>踏板及其零件</t>
    </r>
    <r>
      <rPr>
        <sz val="12"/>
        <rFont val="華康仿宋體"/>
        <family val="1"/>
      </rPr>
      <t>(87149610004)</t>
    </r>
    <phoneticPr fontId="4" type="noConversion"/>
  </si>
  <si>
    <r>
      <rPr>
        <sz val="12"/>
        <rFont val="新細明體"/>
        <family val="1"/>
        <charset val="136"/>
      </rPr>
      <t>腳踏車用把手</t>
    </r>
    <r>
      <rPr>
        <sz val="12"/>
        <rFont val="細明體-ExtB"/>
        <family val="1"/>
        <charset val="136"/>
      </rPr>
      <t>(87149990166)</t>
    </r>
    <phoneticPr fontId="4" type="noConversion"/>
  </si>
  <si>
    <r>
      <rPr>
        <sz val="12"/>
        <rFont val="新細明體"/>
        <family val="1"/>
        <charset val="136"/>
      </rPr>
      <t>腳踏車用橡膠內胎</t>
    </r>
    <r>
      <rPr>
        <sz val="12"/>
        <rFont val="華康仿宋體"/>
        <family val="1"/>
      </rPr>
      <t>(40132000003)</t>
    </r>
    <phoneticPr fontId="4" type="noConversion"/>
  </si>
  <si>
    <t>2023年</t>
    <phoneticPr fontId="3" type="noConversion"/>
  </si>
  <si>
    <t>2022年</t>
    <phoneticPr fontId="3" type="noConversion"/>
  </si>
  <si>
    <r>
      <rPr>
        <sz val="12"/>
        <rFont val="新細明體"/>
        <family val="1"/>
        <charset val="136"/>
      </rPr>
      <t>腳踏車用電器照明設備</t>
    </r>
    <r>
      <rPr>
        <sz val="12"/>
        <rFont val="華康仿宋體"/>
        <family val="1"/>
      </rPr>
      <t>(85121010001)</t>
    </r>
    <phoneticPr fontId="4" type="noConversion"/>
  </si>
  <si>
    <r>
      <rPr>
        <sz val="12"/>
        <rFont val="新細明體"/>
        <family val="1"/>
        <charset val="136"/>
      </rPr>
      <t>腳踏車照明視覺信號設備</t>
    </r>
    <r>
      <rPr>
        <sz val="12"/>
        <rFont val="華康仿宋體"/>
        <family val="1"/>
      </rPr>
      <t>(85121020009)</t>
    </r>
    <phoneticPr fontId="4" type="noConversion"/>
  </si>
  <si>
    <t>其他國家</t>
    <phoneticPr fontId="4" type="noConversion"/>
  </si>
  <si>
    <t>其他國家</t>
    <phoneticPr fontId="3" type="noConversion"/>
  </si>
  <si>
    <t>其他國家</t>
    <phoneticPr fontId="3" type="noConversion"/>
  </si>
  <si>
    <t>其他國家</t>
    <phoneticPr fontId="4" type="noConversion"/>
  </si>
  <si>
    <t>裝有棘輪機構之單一鏈輪(87149320103)</t>
    <phoneticPr fontId="4" type="noConversion"/>
  </si>
  <si>
    <r>
      <rPr>
        <sz val="12"/>
        <rFont val="新細明體"/>
        <family val="1"/>
        <charset val="136"/>
      </rPr>
      <t>煞車鋼線及其零件</t>
    </r>
    <r>
      <rPr>
        <sz val="12"/>
        <rFont val="華康仿宋體"/>
        <family val="1"/>
      </rPr>
      <t>(87149410006)</t>
    </r>
    <phoneticPr fontId="4" type="noConversion"/>
  </si>
  <si>
    <r>
      <rPr>
        <sz val="12"/>
        <rFont val="新細明體"/>
        <family val="1"/>
        <charset val="136"/>
      </rPr>
      <t>其他煞車器及其零件</t>
    </r>
    <r>
      <rPr>
        <sz val="12"/>
        <rFont val="華康仿宋體"/>
        <family val="1"/>
      </rPr>
      <t>(87149490009)</t>
    </r>
    <phoneticPr fontId="4" type="noConversion"/>
  </si>
  <si>
    <r>
      <rPr>
        <sz val="12"/>
        <rFont val="新細明體"/>
        <family val="1"/>
        <charset val="136"/>
      </rPr>
      <t>腳踏車車座</t>
    </r>
    <r>
      <rPr>
        <sz val="12"/>
        <rFont val="細明體-ExtB"/>
        <family val="1"/>
        <charset val="136"/>
      </rPr>
      <t>(87149500007)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</si>
  <si>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</si>
  <si>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曲柄齒輪及其零件</t>
    </r>
    <r>
      <rPr>
        <sz val="12"/>
        <rFont val="細明體-ExtB"/>
        <family val="1"/>
        <charset val="136"/>
      </rPr>
      <t>(87149620002)</t>
    </r>
    <phoneticPr fontId="4" type="noConversion"/>
  </si>
  <si>
    <r>
      <rPr>
        <sz val="12"/>
        <rFont val="新細明體"/>
        <family val="1"/>
        <charset val="136"/>
      </rPr>
      <t>腳踏車用變速器</t>
    </r>
    <r>
      <rPr>
        <sz val="12"/>
        <rFont val="華康仿宋體"/>
        <family val="1"/>
      </rPr>
      <t>(87149990111)</t>
    </r>
    <phoneticPr fontId="4" type="noConversion"/>
  </si>
  <si>
    <t>其他飛輪之鏈輪(87149320906)</t>
    <phoneticPr fontId="4" type="noConversion"/>
  </si>
  <si>
    <r>
      <rPr>
        <sz val="12"/>
        <rFont val="新細明體"/>
        <family val="1"/>
        <charset val="136"/>
      </rPr>
      <t>腳踏車用軸心</t>
    </r>
    <r>
      <rPr>
        <sz val="12"/>
        <rFont val="華康仿宋體"/>
        <family val="1"/>
      </rPr>
      <t>(87149990139)</t>
    </r>
    <phoneticPr fontId="4" type="noConversion"/>
  </si>
  <si>
    <r>
      <rPr>
        <sz val="12"/>
        <rFont val="新細明體"/>
        <family val="1"/>
        <charset val="136"/>
      </rPr>
      <t>腳踏車用把手豎管</t>
    </r>
    <r>
      <rPr>
        <sz val="12"/>
        <rFont val="細明體-ExtB"/>
        <family val="1"/>
        <charset val="136"/>
      </rPr>
      <t>(87149990148)</t>
    </r>
    <phoneticPr fontId="4" type="noConversion"/>
  </si>
  <si>
    <r>
      <rPr>
        <sz val="12"/>
        <rFont val="新細明體"/>
        <family val="1"/>
        <charset val="136"/>
      </rPr>
      <t>腳踏車用座管及上下管</t>
    </r>
    <r>
      <rPr>
        <sz val="12"/>
        <rFont val="細明體-ExtB"/>
        <family val="1"/>
        <charset val="136"/>
      </rPr>
      <t>(87149990157)</t>
    </r>
    <phoneticPr fontId="4" type="noConversion"/>
  </si>
  <si>
    <t>其他國家</t>
    <phoneticPr fontId="3" type="noConversion"/>
  </si>
  <si>
    <r>
      <rPr>
        <sz val="12"/>
        <rFont val="新細明體"/>
        <family val="1"/>
        <charset val="136"/>
      </rPr>
      <t>腳踏車用新橡膠氣胎</t>
    </r>
    <r>
      <rPr>
        <sz val="12"/>
        <rFont val="華康仿宋體"/>
        <family val="1"/>
      </rPr>
      <t>(40115000008)</t>
    </r>
    <phoneticPr fontId="4" type="noConversion"/>
  </si>
  <si>
    <t>其他國家</t>
    <phoneticPr fontId="3" type="noConversion"/>
  </si>
  <si>
    <t>阿拉伯聯合大公國</t>
    <phoneticPr fontId="3" type="noConversion"/>
  </si>
  <si>
    <t>南韓</t>
    <phoneticPr fontId="10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</si>
  <si>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2023-2022</t>
    </r>
    <r>
      <rPr>
        <sz val="12"/>
        <rFont val="新細明體"/>
        <family val="1"/>
        <charset val="136"/>
      </rPr>
      <t>年同期比較</t>
    </r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</si>
  <si>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2023-2022</t>
    </r>
    <r>
      <rPr>
        <sz val="12"/>
        <rFont val="新細明體"/>
        <family val="1"/>
        <charset val="136"/>
      </rPr>
      <t>年同期比較</t>
    </r>
    <phoneticPr fontId="4" type="noConversion"/>
  </si>
  <si>
    <r>
      <t>2023</t>
    </r>
    <r>
      <rPr>
        <sz val="12"/>
        <rFont val="新細明體"/>
        <family val="1"/>
        <charset val="136"/>
      </rPr>
      <t>年</t>
    </r>
    <phoneticPr fontId="4" type="noConversion"/>
  </si>
  <si>
    <t>南韓</t>
    <phoneticPr fontId="3" type="noConversion"/>
  </si>
  <si>
    <r>
      <rPr>
        <sz val="12"/>
        <rFont val="新細明體"/>
        <family val="1"/>
        <charset val="136"/>
      </rPr>
      <t>日</t>
    </r>
    <r>
      <rPr>
        <sz val="12"/>
        <rFont val="細明體-ExtB"/>
        <family val="1"/>
        <charset val="136"/>
      </rPr>
      <t xml:space="preserve">    </t>
    </r>
    <r>
      <rPr>
        <sz val="12"/>
        <rFont val="新細明體"/>
        <family val="1"/>
        <charset val="136"/>
      </rPr>
      <t>期</t>
    </r>
    <r>
      <rPr>
        <sz val="12"/>
        <rFont val="細明體-ExtB"/>
        <family val="1"/>
        <charset val="136"/>
      </rPr>
      <t>: 2023 -2022</t>
    </r>
    <r>
      <rPr>
        <sz val="12"/>
        <rFont val="新細明體"/>
        <family val="1"/>
        <charset val="136"/>
      </rPr>
      <t>年同期比較</t>
    </r>
    <phoneticPr fontId="3" type="noConversion"/>
  </si>
  <si>
    <t>美國</t>
  </si>
  <si>
    <t>越南</t>
  </si>
  <si>
    <t>英國</t>
  </si>
  <si>
    <t>柬埔寨</t>
  </si>
  <si>
    <t>中華民國</t>
  </si>
  <si>
    <t>瑞士</t>
  </si>
  <si>
    <t>馬來西亞</t>
  </si>
  <si>
    <t>緬甸</t>
  </si>
  <si>
    <t>泰國</t>
  </si>
  <si>
    <t>印尼</t>
  </si>
  <si>
    <t>哥斯大黎加</t>
  </si>
  <si>
    <t>菲律賓</t>
  </si>
  <si>
    <t>土耳其</t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</si>
  <si>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月台灣自行車主要出口國家統計</t>
    </r>
    <phoneticPr fontId="4" type="noConversion"/>
  </si>
  <si>
    <r>
      <t>2023</t>
    </r>
    <r>
      <rPr>
        <sz val="12"/>
        <rFont val="新細明體"/>
        <family val="1"/>
        <charset val="136"/>
      </rPr>
      <t>年4月</t>
    </r>
    <phoneticPr fontId="4" type="noConversion"/>
  </si>
  <si>
    <r>
      <t>4</t>
    </r>
    <r>
      <rPr>
        <sz val="12"/>
        <rFont val="新細明體"/>
        <family val="1"/>
        <charset val="136"/>
      </rPr>
      <t>月數量</t>
    </r>
    <phoneticPr fontId="4" type="noConversion"/>
  </si>
  <si>
    <r>
      <t>4</t>
    </r>
    <r>
      <rPr>
        <sz val="12"/>
        <rFont val="Microsoft JhengHei UI"/>
        <family val="3"/>
        <charset val="136"/>
      </rPr>
      <t>月金額</t>
    </r>
    <phoneticPr fontId="4" type="noConversion"/>
  </si>
  <si>
    <r>
      <t>1-4</t>
    </r>
    <r>
      <rPr>
        <sz val="12"/>
        <rFont val="新細明體"/>
        <family val="1"/>
        <charset val="136"/>
      </rPr>
      <t>月數量</t>
    </r>
    <phoneticPr fontId="4" type="noConversion"/>
  </si>
  <si>
    <r>
      <t>1-4</t>
    </r>
    <r>
      <rPr>
        <sz val="12"/>
        <rFont val="新細明體"/>
        <family val="1"/>
        <charset val="136"/>
      </rPr>
      <t>月金額</t>
    </r>
    <phoneticPr fontId="4" type="noConversion"/>
  </si>
  <si>
    <r>
      <t>4</t>
    </r>
    <r>
      <rPr>
        <sz val="12"/>
        <rFont val="新細明體"/>
        <family val="1"/>
        <charset val="136"/>
      </rPr>
      <t>月金額</t>
    </r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</si>
  <si>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2022</t>
    </r>
    <r>
      <rPr>
        <b/>
        <sz val="14"/>
        <rFont val="新細明體"/>
        <family val="1"/>
        <charset val="136"/>
      </rPr>
      <t>年同期台灣自行車出口統計比較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</si>
  <si>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2022</t>
    </r>
    <r>
      <rPr>
        <b/>
        <sz val="14"/>
        <rFont val="新細明體"/>
        <family val="1"/>
        <charset val="136"/>
      </rPr>
      <t>年同期台灣其他自行車出口統計比較</t>
    </r>
    <phoneticPr fontId="3" type="noConversion"/>
  </si>
  <si>
    <r>
      <t>2023/2022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月台灣自行車出口主要國家比較</t>
    </r>
    <phoneticPr fontId="4" type="noConversion"/>
  </si>
  <si>
    <r>
      <t>2023/2022</t>
    </r>
    <r>
      <rPr>
        <sz val="10"/>
        <rFont val="新細明體"/>
        <family val="1"/>
        <charset val="136"/>
      </rPr>
      <t>年</t>
    </r>
    <r>
      <rPr>
        <sz val="10"/>
        <rFont val="細明體-ExtB"/>
        <family val="1"/>
        <charset val="136"/>
      </rPr>
      <t>1-4</t>
    </r>
    <r>
      <rPr>
        <sz val="10"/>
        <rFont val="新細明體"/>
        <family val="1"/>
        <charset val="136"/>
      </rPr>
      <t>月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</si>
  <si>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年4月台灣自行車出口地區別統計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</si>
  <si>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月台灣自行車主要</t>
    </r>
    <r>
      <rPr>
        <b/>
        <sz val="14"/>
        <color rgb="FFFF0000"/>
        <rFont val="新細明體"/>
        <family val="1"/>
        <charset val="136"/>
      </rPr>
      <t>進口</t>
    </r>
    <r>
      <rPr>
        <b/>
        <sz val="14"/>
        <rFont val="新細明體"/>
        <family val="1"/>
        <charset val="136"/>
      </rPr>
      <t>國家統計</t>
    </r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</si>
  <si>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月台灣折疊式自行車主要出口國家統計</t>
    </r>
    <phoneticPr fontId="4" type="noConversion"/>
  </si>
  <si>
    <r>
      <t xml:space="preserve">     2023/2022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月台灣折疊式自行車主要出口國家比較</t>
    </r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</si>
  <si>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台灣電動自行車主要出口國家統計</t>
    </r>
    <phoneticPr fontId="10" type="noConversion"/>
  </si>
  <si>
    <t xml:space="preserve">                                                2023/2022年1-4月台灣電動自行車主要出口國家比較        </t>
    <phoneticPr fontId="4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</si>
  <si>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華康仿宋體"/>
        <family val="1"/>
      </rPr>
      <t>1-4</t>
    </r>
    <r>
      <rPr>
        <b/>
        <sz val="14"/>
        <rFont val="新細明體"/>
        <family val="1"/>
        <charset val="136"/>
      </rPr>
      <t>月與</t>
    </r>
    <r>
      <rPr>
        <b/>
        <sz val="14"/>
        <rFont val="華康仿宋體"/>
        <family val="1"/>
      </rPr>
      <t>2022</t>
    </r>
    <r>
      <rPr>
        <b/>
        <sz val="14"/>
        <rFont val="新細明體"/>
        <family val="1"/>
        <charset val="136"/>
      </rPr>
      <t>年同期台灣電動自行車出口統計比較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</si>
  <si>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月與</t>
    </r>
    <r>
      <rPr>
        <b/>
        <sz val="14"/>
        <rFont val="細明體-ExtB"/>
        <family val="1"/>
        <charset val="136"/>
      </rPr>
      <t>2022</t>
    </r>
    <r>
      <rPr>
        <b/>
        <sz val="14"/>
        <rFont val="新細明體"/>
        <family val="1"/>
        <charset val="136"/>
      </rPr>
      <t>年同期台灣折疊式自行車出口統計比較</t>
    </r>
    <phoneticPr fontId="3" type="noConversion"/>
  </si>
  <si>
    <r>
      <t>2023</t>
    </r>
    <r>
      <rPr>
        <b/>
        <sz val="14"/>
        <rFont val="新細明體"/>
        <family val="1"/>
        <charset val="136"/>
      </rPr>
      <t>年</t>
    </r>
    <r>
      <rPr>
        <b/>
        <sz val="14"/>
        <rFont val="細明體-ExtB"/>
        <family val="1"/>
        <charset val="136"/>
      </rPr>
      <t>1-4</t>
    </r>
    <r>
      <rPr>
        <b/>
        <sz val="14"/>
        <rFont val="新細明體"/>
        <family val="1"/>
        <charset val="136"/>
      </rPr>
      <t>月份自行車主要零件進出口統計</t>
    </r>
    <phoneticPr fontId="4" type="noConversion"/>
  </si>
  <si>
    <t>4月出口量</t>
    <phoneticPr fontId="4" type="noConversion"/>
  </si>
  <si>
    <t>4月出口金額</t>
    <phoneticPr fontId="4" type="noConversion"/>
  </si>
  <si>
    <r>
      <t>1-4</t>
    </r>
    <r>
      <rPr>
        <b/>
        <sz val="12"/>
        <rFont val="新細明體"/>
        <family val="1"/>
        <charset val="136"/>
      </rPr>
      <t>月出口量</t>
    </r>
    <phoneticPr fontId="4" type="noConversion"/>
  </si>
  <si>
    <r>
      <t>1-4</t>
    </r>
    <r>
      <rPr>
        <b/>
        <sz val="12"/>
        <rFont val="新細明體"/>
        <family val="1"/>
        <charset val="136"/>
      </rPr>
      <t>月出口金額</t>
    </r>
    <phoneticPr fontId="4" type="noConversion"/>
  </si>
  <si>
    <t>4月進口量</t>
    <phoneticPr fontId="4" type="noConversion"/>
  </si>
  <si>
    <t>4月進口金額</t>
    <phoneticPr fontId="4" type="noConversion"/>
  </si>
  <si>
    <r>
      <t>1-4</t>
    </r>
    <r>
      <rPr>
        <b/>
        <sz val="12"/>
        <rFont val="新細明體"/>
        <family val="1"/>
        <charset val="136"/>
      </rPr>
      <t>月進口量</t>
    </r>
    <phoneticPr fontId="4" type="noConversion"/>
  </si>
  <si>
    <r>
      <t>1-4</t>
    </r>
    <r>
      <rPr>
        <b/>
        <sz val="12"/>
        <rFont val="新細明體"/>
        <family val="1"/>
        <charset val="136"/>
      </rPr>
      <t>月進口金額</t>
    </r>
    <phoneticPr fontId="4" type="noConversion"/>
  </si>
  <si>
    <r>
      <t xml:space="preserve">     2023/2022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1-4</t>
    </r>
    <r>
      <rPr>
        <b/>
        <sz val="16"/>
        <rFont val="新細明體"/>
        <family val="1"/>
        <charset val="136"/>
      </rPr>
      <t>月同期自行車主要零件出口統計比較</t>
    </r>
    <phoneticPr fontId="4" type="noConversion"/>
  </si>
  <si>
    <r>
      <t xml:space="preserve">     2023/2022</t>
    </r>
    <r>
      <rPr>
        <b/>
        <sz val="16"/>
        <rFont val="新細明體"/>
        <family val="1"/>
        <charset val="136"/>
      </rPr>
      <t>年</t>
    </r>
    <r>
      <rPr>
        <b/>
        <sz val="16"/>
        <rFont val="細明體-ExtB"/>
        <family val="1"/>
        <charset val="136"/>
      </rPr>
      <t>1-4</t>
    </r>
    <r>
      <rPr>
        <b/>
        <sz val="16"/>
        <rFont val="新細明體"/>
        <family val="1"/>
        <charset val="136"/>
      </rPr>
      <t>月同期自行車主要零件進口統計比較</t>
    </r>
    <phoneticPr fontId="4" type="noConversion"/>
  </si>
  <si>
    <r>
      <t>2023</t>
    </r>
    <r>
      <rPr>
        <sz val="16"/>
        <rFont val="新細明體"/>
        <family val="1"/>
        <charset val="136"/>
      </rPr>
      <t>年4月台灣自行車主要零件進出口統計</t>
    </r>
    <phoneticPr fontId="4" type="noConversion"/>
  </si>
  <si>
    <t>香港</t>
  </si>
  <si>
    <t>孟加拉</t>
  </si>
  <si>
    <t>沙烏地阿拉伯</t>
  </si>
  <si>
    <t>烏拉圭</t>
  </si>
  <si>
    <t>印度</t>
  </si>
  <si>
    <t>阿拉伯聯合大公國</t>
  </si>
  <si>
    <t>新加坡</t>
  </si>
  <si>
    <r>
      <t>2022</t>
    </r>
    <r>
      <rPr>
        <sz val="12"/>
        <color rgb="FF0000FF"/>
        <rFont val="新細明體"/>
        <family val="1"/>
        <charset val="136"/>
      </rPr>
      <t>年</t>
    </r>
    <phoneticPr fontId="4" type="noConversion"/>
  </si>
  <si>
    <r>
      <t>2023/2022</t>
    </r>
    <r>
      <rPr>
        <sz val="10"/>
        <rFont val="新細明體"/>
        <family val="1"/>
        <charset val="136"/>
      </rPr>
      <t>年</t>
    </r>
    <r>
      <rPr>
        <sz val="10"/>
        <rFont val="華康仿宋體"/>
        <family val="1"/>
      </rPr>
      <t>1-4</t>
    </r>
    <r>
      <rPr>
        <sz val="10"/>
        <rFont val="新細明體"/>
        <family val="1"/>
        <charset val="136"/>
      </rPr>
      <t>月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</si>
</sst>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76" formatCode="_(* #,##0_);_(* \(#,##0\);_(* &quot;-&quot;_);_(@_)"/>
    <numFmt numFmtId="177" formatCode="_(* #,##0.00_);_(* \(#,##0.00\);_(* &quot;-&quot;??_);_(@_)"/>
    <numFmt numFmtId="178" formatCode="_(&quot;$&quot;* #,##0_);_(&quot;$&quot;* \(#,##0\);_(&quot;$&quot;* &quot;-&quot;??_);_(@_)"/>
    <numFmt numFmtId="179" formatCode="_(* #,##0_);_(* \(#,##0\);_(* &quot;-&quot;??_);_(@_)"/>
    <numFmt numFmtId="180" formatCode="_-* #,##0_-;\-* #,##0_-;_-* &quot;-&quot;??_-;_-@_-"/>
    <numFmt numFmtId="181" formatCode="0.00%;[Red]\-0.00%;&quot;- &quot;"/>
  </numFmts>
  <fonts count="94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4"/>
      <name val="華康仿宋體"/>
      <family val="1"/>
      <charset val="136"/>
    </font>
    <font>
      <sz val="9"/>
      <name val="新細明體"/>
      <family val="2"/>
      <charset val="136"/>
      <scheme val="minor"/>
    </font>
    <font>
      <sz val="9"/>
      <name val="細明體"/>
      <family val="3"/>
      <charset val="136"/>
    </font>
    <font>
      <sz val="14"/>
      <name val="華康仿宋體"/>
      <family val="3"/>
      <charset val="136"/>
    </font>
    <font>
      <sz val="9"/>
      <name val="新細明體"/>
      <family val="1"/>
      <charset val="136"/>
    </font>
    <font>
      <sz val="12"/>
      <name val="Times New Roman"/>
      <family val="1"/>
    </font>
    <font>
      <sz val="12"/>
      <name val="華康仿宋體"/>
      <family val="3"/>
      <charset val="136"/>
    </font>
    <font>
      <sz val="12"/>
      <name val="細明體"/>
      <family val="3"/>
      <charset val="136"/>
    </font>
    <font>
      <sz val="9"/>
      <name val="華康仿宋體W4"/>
      <family val="3"/>
      <charset val="136"/>
    </font>
    <font>
      <b/>
      <sz val="12"/>
      <color indexed="12"/>
      <name val="Times New Roman"/>
      <family val="1"/>
    </font>
    <font>
      <b/>
      <sz val="12"/>
      <color indexed="10"/>
      <name val="Times New Roman"/>
      <family val="1"/>
    </font>
    <font>
      <sz val="12"/>
      <color indexed="12"/>
      <name val="Times New Roman"/>
      <family val="1"/>
    </font>
    <font>
      <sz val="12"/>
      <color indexed="10"/>
      <name val="Times New Roman"/>
      <family val="1"/>
    </font>
    <font>
      <sz val="10"/>
      <name val="華康仿宋體"/>
      <family val="3"/>
      <charset val="136"/>
    </font>
    <font>
      <sz val="12"/>
      <color indexed="12"/>
      <name val="華康仿宋體"/>
      <family val="3"/>
      <charset val="136"/>
    </font>
    <font>
      <sz val="12"/>
      <color indexed="8"/>
      <name val="華康仿宋體"/>
      <family val="3"/>
      <charset val="136"/>
    </font>
    <font>
      <sz val="12"/>
      <color indexed="10"/>
      <name val="華康仿宋體"/>
      <family val="3"/>
      <charset val="136"/>
    </font>
    <font>
      <sz val="12"/>
      <color indexed="8"/>
      <name val="Times New Roman"/>
      <family val="1"/>
    </font>
    <font>
      <sz val="9"/>
      <color indexed="8"/>
      <name val="華康仿宋體"/>
      <family val="3"/>
      <charset val="136"/>
    </font>
    <font>
      <sz val="9"/>
      <color indexed="8"/>
      <name val="Times New Roman"/>
      <family val="1"/>
    </font>
    <font>
      <sz val="9"/>
      <color indexed="12"/>
      <name val="華康仿宋體"/>
      <family val="3"/>
      <charset val="136"/>
    </font>
    <font>
      <sz val="12"/>
      <color rgb="FFFF0000"/>
      <name val="Times New Roman"/>
      <family val="1"/>
    </font>
    <font>
      <sz val="11"/>
      <color indexed="10"/>
      <name val="Times New Roman"/>
      <family val="1"/>
    </font>
    <font>
      <sz val="11"/>
      <name val="華康仿宋體"/>
      <family val="1"/>
      <charset val="136"/>
    </font>
    <font>
      <sz val="9"/>
      <name val="華康仿宋體"/>
      <family val="3"/>
      <charset val="136"/>
    </font>
    <font>
      <b/>
      <sz val="13"/>
      <name val="Times New Roman"/>
      <family val="1"/>
    </font>
    <font>
      <b/>
      <sz val="13"/>
      <name val="華康仿宋體"/>
      <family val="1"/>
      <charset val="136"/>
    </font>
    <font>
      <sz val="13"/>
      <name val="華康仿宋體"/>
      <family val="3"/>
      <charset val="136"/>
    </font>
    <font>
      <sz val="13"/>
      <name val="華康仿宋體W4"/>
      <family val="3"/>
      <charset val="136"/>
    </font>
    <font>
      <b/>
      <sz val="14"/>
      <name val="新細明體"/>
      <family val="1"/>
      <charset val="136"/>
    </font>
    <font>
      <b/>
      <sz val="12"/>
      <color indexed="12"/>
      <name val="新細明體"/>
      <family val="1"/>
      <charset val="136"/>
    </font>
    <font>
      <b/>
      <sz val="12"/>
      <color indexed="10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12"/>
      <name val="新細明體"/>
      <family val="1"/>
      <charset val="136"/>
    </font>
    <font>
      <sz val="12"/>
      <color indexed="10"/>
      <name val="新細明體"/>
      <family val="1"/>
      <charset val="136"/>
    </font>
    <font>
      <b/>
      <sz val="13"/>
      <name val="新細明體"/>
      <family val="1"/>
      <charset val="136"/>
    </font>
    <font>
      <sz val="13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9"/>
      <color indexed="8"/>
      <name val="新細明體"/>
      <family val="1"/>
      <charset val="136"/>
    </font>
    <font>
      <sz val="9"/>
      <color indexed="12"/>
      <name val="新細明體"/>
      <family val="1"/>
      <charset val="136"/>
    </font>
    <font>
      <sz val="12"/>
      <color rgb="FFFF0000"/>
      <name val="新細明體"/>
      <family val="1"/>
      <charset val="136"/>
    </font>
    <font>
      <sz val="12"/>
      <color indexed="12"/>
      <name val="華康仿宋體W4"/>
      <family val="3"/>
      <charset val="136"/>
    </font>
    <font>
      <sz val="12"/>
      <color indexed="10"/>
      <name val="華康仿宋體W4"/>
      <family val="3"/>
      <charset val="136"/>
    </font>
    <font>
      <sz val="12"/>
      <color indexed="8"/>
      <name val="華康仿宋體W4"/>
      <family val="3"/>
      <charset val="136"/>
    </font>
    <font>
      <b/>
      <sz val="12"/>
      <name val="華康仿宋體"/>
      <family val="1"/>
      <charset val="136"/>
    </font>
    <font>
      <b/>
      <sz val="16"/>
      <name val="華康仿宋體"/>
      <family val="3"/>
      <charset val="136"/>
    </font>
    <font>
      <b/>
      <sz val="16"/>
      <color indexed="12"/>
      <name val="華康仿宋體"/>
      <family val="3"/>
      <charset val="136"/>
    </font>
    <font>
      <b/>
      <sz val="16"/>
      <color indexed="10"/>
      <name val="華康仿宋體"/>
      <family val="3"/>
      <charset val="136"/>
    </font>
    <font>
      <b/>
      <sz val="12"/>
      <color indexed="12"/>
      <name val="華康仿宋體"/>
      <family val="3"/>
      <charset val="136"/>
    </font>
    <font>
      <b/>
      <sz val="12"/>
      <color indexed="10"/>
      <name val="華康仿宋體"/>
      <family val="3"/>
      <charset val="136"/>
    </font>
    <font>
      <sz val="16"/>
      <name val="華康仿宋體"/>
      <family val="3"/>
      <charset val="136"/>
    </font>
    <font>
      <sz val="12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rgb="FF0033CC"/>
      <name val="新細明體"/>
      <family val="1"/>
      <charset val="136"/>
      <scheme val="minor"/>
    </font>
    <font>
      <sz val="12"/>
      <name val="新細明體"/>
      <family val="2"/>
      <charset val="136"/>
      <scheme val="minor"/>
    </font>
    <font>
      <sz val="12"/>
      <name val="華康仿宋體"/>
      <family val="3"/>
      <charset val="134"/>
    </font>
    <font>
      <sz val="12"/>
      <name val="SimSun"/>
      <charset val="134"/>
    </font>
    <font>
      <sz val="12"/>
      <name val="華康仿宋體"/>
      <family val="1"/>
    </font>
    <font>
      <sz val="12"/>
      <name val="MS Gothic"/>
      <family val="3"/>
      <charset val="128"/>
    </font>
    <font>
      <sz val="10"/>
      <name val="華康仿宋體"/>
      <family val="1"/>
      <charset val="136"/>
    </font>
    <font>
      <sz val="12"/>
      <color indexed="48"/>
      <name val="華康仿宋體"/>
      <family val="1"/>
      <charset val="136"/>
    </font>
    <font>
      <sz val="12"/>
      <color indexed="48"/>
      <name val="Times New Roman"/>
      <family val="1"/>
    </font>
    <font>
      <sz val="12"/>
      <name val="華康仿宋體"/>
      <family val="1"/>
      <charset val="136"/>
    </font>
    <font>
      <sz val="12"/>
      <name val="細明體-ExtB"/>
      <family val="1"/>
      <charset val="136"/>
    </font>
    <font>
      <sz val="12"/>
      <color rgb="FFFF0000"/>
      <name val="華康仿宋體"/>
      <family val="1"/>
      <charset val="136"/>
    </font>
    <font>
      <sz val="9"/>
      <name val="Times New Roman"/>
      <family val="1"/>
    </font>
    <font>
      <sz val="12"/>
      <color rgb="FFFF0000"/>
      <name val="華康仿宋體"/>
      <family val="3"/>
      <charset val="136"/>
    </font>
    <font>
      <sz val="12"/>
      <name val="新細明體"/>
      <family val="3"/>
      <charset val="136"/>
    </font>
    <font>
      <sz val="10"/>
      <name val="新細明體"/>
      <family val="1"/>
      <charset val="136"/>
    </font>
    <font>
      <sz val="10"/>
      <name val="細明體-ExtB"/>
      <family val="1"/>
      <charset val="136"/>
    </font>
    <font>
      <sz val="12"/>
      <color rgb="FF0000FF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細明體-ExtB"/>
      <family val="1"/>
      <charset val="136"/>
    </font>
    <font>
      <b/>
      <sz val="14"/>
      <color rgb="FFFF0000"/>
      <name val="新細明體"/>
      <family val="1"/>
      <charset val="136"/>
    </font>
    <font>
      <sz val="12"/>
      <name val="細明體"/>
      <family val="1"/>
      <charset val="136"/>
    </font>
    <font>
      <b/>
      <sz val="16"/>
      <name val="新細明體"/>
      <family val="1"/>
      <charset val="136"/>
    </font>
    <font>
      <sz val="9"/>
      <color indexed="12"/>
      <name val="Times New Roman"/>
      <family val="1"/>
    </font>
    <font>
      <sz val="12"/>
      <color rgb="FF0033CC"/>
      <name val="Times New Roman"/>
      <family val="1"/>
    </font>
    <font>
      <sz val="12"/>
      <color indexed="12"/>
      <name val="新細明體"/>
      <family val="1"/>
      <charset val="136"/>
      <scheme val="major"/>
    </font>
    <font>
      <sz val="12"/>
      <color indexed="12"/>
      <name val="新細明體"/>
      <family val="1"/>
      <charset val="136"/>
      <scheme val="minor"/>
    </font>
    <font>
      <sz val="12"/>
      <color rgb="FF242424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sz val="12"/>
      <color rgb="FFCCCCFF"/>
      <name val="Times New Roman"/>
      <family val="1"/>
    </font>
    <font>
      <sz val="12"/>
      <name val="Microsoft JhengHei UI"/>
      <family val="3"/>
      <charset val="136"/>
    </font>
    <font>
      <sz val="12"/>
      <color rgb="FF0000FF"/>
      <name val="新細明體"/>
      <family val="1"/>
      <charset val="136"/>
      <scheme val="minor"/>
    </font>
    <font>
      <sz val="12"/>
      <color rgb="FF0000FF"/>
      <name val="華康仿宋體W4"/>
      <family val="3"/>
      <charset val="136"/>
    </font>
    <font>
      <b/>
      <sz val="16"/>
      <name val="細明體-ExtB"/>
      <family val="1"/>
      <charset val="136"/>
    </font>
    <font>
      <sz val="16"/>
      <name val="新細明體"/>
      <family val="1"/>
      <charset val="136"/>
    </font>
    <font>
      <b/>
      <sz val="14"/>
      <name val="華康仿宋體"/>
      <family val="1"/>
    </font>
    <font>
      <sz val="10"/>
      <name val="華康仿宋體"/>
      <family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125">
        <fgColor indexed="31"/>
        <bgColor indexed="31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CC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/>
    <xf numFmtId="177" fontId="7" fillId="0" borderId="0" applyFont="0" applyFill="0" applyBorder="0" applyAlignment="0" applyProtection="0"/>
  </cellStyleXfs>
  <cellXfs count="566">
    <xf numFmtId="0" fontId="0" fillId="0" borderId="0" xfId="0">
      <alignment vertical="center"/>
    </xf>
    <xf numFmtId="0" fontId="2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43" fontId="5" fillId="0" borderId="0" xfId="0" applyNumberFormat="1" applyFont="1" applyAlignment="1">
      <alignment horizontal="centerContinuous"/>
    </xf>
    <xf numFmtId="0" fontId="5" fillId="0" borderId="0" xfId="0" applyFont="1" applyAlignment="1"/>
    <xf numFmtId="0" fontId="0" fillId="0" borderId="0" xfId="0" applyAlignment="1"/>
    <xf numFmtId="43" fontId="0" fillId="0" borderId="0" xfId="0" applyNumberFormat="1" applyAlignment="1"/>
    <xf numFmtId="0" fontId="7" fillId="0" borderId="0" xfId="0" applyFont="1" applyAlignment="1"/>
    <xf numFmtId="0" fontId="8" fillId="0" borderId="4" xfId="0" quotePrefix="1" applyFont="1" applyBorder="1" applyAlignment="1">
      <alignment horizontal="center"/>
    </xf>
    <xf numFmtId="43" fontId="8" fillId="0" borderId="4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4" xfId="0" applyFont="1" applyBorder="1" applyAlignment="1">
      <alignment horizontal="center"/>
    </xf>
    <xf numFmtId="43" fontId="8" fillId="0" borderId="5" xfId="0" applyNumberFormat="1" applyFont="1" applyBorder="1" applyAlignment="1">
      <alignment horizontal="center"/>
    </xf>
    <xf numFmtId="0" fontId="8" fillId="0" borderId="0" xfId="0" applyFont="1" applyAlignment="1"/>
    <xf numFmtId="0" fontId="8" fillId="0" borderId="6" xfId="0" applyFont="1" applyBorder="1" applyAlignment="1">
      <alignment horizontal="center"/>
    </xf>
    <xf numFmtId="0" fontId="8" fillId="2" borderId="5" xfId="0" quotePrefix="1" applyFont="1" applyFill="1" applyBorder="1" applyAlignment="1">
      <alignment horizontal="center"/>
    </xf>
    <xf numFmtId="0" fontId="0" fillId="2" borderId="4" xfId="0" applyFill="1" applyBorder="1" applyAlignment="1"/>
    <xf numFmtId="0" fontId="0" fillId="2" borderId="7" xfId="0" applyFill="1" applyBorder="1" applyAlignment="1"/>
    <xf numFmtId="43" fontId="0" fillId="2" borderId="7" xfId="0" applyNumberFormat="1" applyFill="1" applyBorder="1" applyAlignment="1"/>
    <xf numFmtId="43" fontId="0" fillId="2" borderId="8" xfId="0" applyNumberFormat="1" applyFill="1" applyBorder="1" applyAlignment="1"/>
    <xf numFmtId="0" fontId="8" fillId="2" borderId="5" xfId="0" applyFont="1" applyFill="1" applyBorder="1" applyAlignment="1">
      <alignment horizontal="center"/>
    </xf>
    <xf numFmtId="176" fontId="0" fillId="2" borderId="4" xfId="0" applyNumberFormat="1" applyFill="1" applyBorder="1" applyAlignment="1"/>
    <xf numFmtId="176" fontId="0" fillId="2" borderId="6" xfId="0" applyNumberFormat="1" applyFill="1" applyBorder="1" applyAlignment="1"/>
    <xf numFmtId="43" fontId="0" fillId="2" borderId="6" xfId="0" applyNumberFormat="1" applyFill="1" applyBorder="1" applyAlignment="1"/>
    <xf numFmtId="10" fontId="0" fillId="2" borderId="6" xfId="3" applyNumberFormat="1" applyFont="1" applyFill="1" applyBorder="1" applyAlignment="1"/>
    <xf numFmtId="43" fontId="0" fillId="2" borderId="9" xfId="0" applyNumberFormat="1" applyFill="1" applyBorder="1" applyAlignment="1"/>
    <xf numFmtId="0" fontId="8" fillId="0" borderId="10" xfId="0" quotePrefix="1" applyFont="1" applyBorder="1" applyAlignment="1">
      <alignment horizontal="center"/>
    </xf>
    <xf numFmtId="176" fontId="0" fillId="0" borderId="10" xfId="0" applyNumberFormat="1" applyBorder="1" applyAlignment="1"/>
    <xf numFmtId="176" fontId="0" fillId="0" borderId="6" xfId="0" applyNumberFormat="1" applyBorder="1" applyAlignment="1"/>
    <xf numFmtId="10" fontId="0" fillId="0" borderId="6" xfId="3" applyNumberFormat="1" applyFont="1" applyBorder="1" applyAlignment="1"/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8" fillId="2" borderId="10" xfId="0" quotePrefix="1" applyFont="1" applyFill="1" applyBorder="1" applyAlignment="1">
      <alignment horizontal="center"/>
    </xf>
    <xf numFmtId="176" fontId="0" fillId="2" borderId="10" xfId="0" applyNumberFormat="1" applyFill="1" applyBorder="1" applyAlignment="1"/>
    <xf numFmtId="176" fontId="9" fillId="0" borderId="10" xfId="0" applyNumberFormat="1" applyFont="1" applyBorder="1" applyAlignment="1">
      <alignment horizontal="center"/>
    </xf>
    <xf numFmtId="176" fontId="9" fillId="0" borderId="10" xfId="0" quotePrefix="1" applyNumberFormat="1" applyFont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2" borderId="0" xfId="0" quotePrefix="1" applyFont="1" applyFill="1" applyAlignment="1">
      <alignment horizontal="center"/>
    </xf>
    <xf numFmtId="176" fontId="0" fillId="2" borderId="0" xfId="0" applyNumberFormat="1" applyFill="1" applyAlignment="1"/>
    <xf numFmtId="43" fontId="0" fillId="2" borderId="0" xfId="0" applyNumberFormat="1" applyFill="1" applyAlignment="1"/>
    <xf numFmtId="10" fontId="0" fillId="2" borderId="0" xfId="3" applyNumberFormat="1" applyFont="1" applyFill="1" applyBorder="1" applyAlignment="1"/>
    <xf numFmtId="0" fontId="8" fillId="0" borderId="8" xfId="0" applyFont="1" applyBorder="1" applyAlignment="1">
      <alignment horizontal="center"/>
    </xf>
    <xf numFmtId="43" fontId="8" fillId="0" borderId="11" xfId="0" applyNumberFormat="1" applyFont="1" applyBorder="1" applyAlignment="1">
      <alignment horizontal="center"/>
    </xf>
    <xf numFmtId="10" fontId="8" fillId="0" borderId="11" xfId="0" applyNumberFormat="1" applyFont="1" applyBorder="1" applyAlignment="1">
      <alignment horizontal="center"/>
    </xf>
    <xf numFmtId="10" fontId="8" fillId="0" borderId="11" xfId="3" applyNumberFormat="1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176" fontId="8" fillId="0" borderId="9" xfId="0" applyNumberFormat="1" applyFont="1" applyBorder="1" applyAlignment="1">
      <alignment horizontal="center"/>
    </xf>
    <xf numFmtId="176" fontId="8" fillId="0" borderId="9" xfId="0" quotePrefix="1" applyNumberFormat="1" applyFont="1" applyBorder="1" applyAlignment="1">
      <alignment horizontal="center"/>
    </xf>
    <xf numFmtId="176" fontId="8" fillId="0" borderId="11" xfId="0" applyNumberFormat="1" applyFont="1" applyBorder="1" applyAlignment="1">
      <alignment horizontal="center"/>
    </xf>
    <xf numFmtId="176" fontId="8" fillId="0" borderId="11" xfId="0" quotePrefix="1" applyNumberFormat="1" applyFont="1" applyBorder="1" applyAlignment="1">
      <alignment horizontal="center"/>
    </xf>
    <xf numFmtId="10" fontId="8" fillId="0" borderId="11" xfId="3" quotePrefix="1" applyNumberFormat="1" applyFont="1" applyBorder="1" applyAlignment="1">
      <alignment horizontal="center"/>
    </xf>
    <xf numFmtId="43" fontId="0" fillId="2" borderId="10" xfId="0" applyNumberFormat="1" applyFill="1" applyBorder="1" applyAlignment="1"/>
    <xf numFmtId="10" fontId="0" fillId="2" borderId="10" xfId="3" applyNumberFormat="1" applyFont="1" applyFill="1" applyBorder="1" applyAlignment="1"/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3" fontId="8" fillId="0" borderId="0" xfId="0" quotePrefix="1" applyNumberFormat="1" applyFont="1" applyAlignment="1">
      <alignment horizontal="left"/>
    </xf>
    <xf numFmtId="0" fontId="11" fillId="0" borderId="0" xfId="0" applyFont="1" applyAlignment="1">
      <alignment horizontal="centerContinuous"/>
    </xf>
    <xf numFmtId="10" fontId="12" fillId="0" borderId="0" xfId="0" applyNumberFormat="1" applyFont="1" applyAlignment="1">
      <alignment horizontal="centerContinuous"/>
    </xf>
    <xf numFmtId="0" fontId="13" fillId="0" borderId="0" xfId="0" applyFont="1" applyAlignment="1"/>
    <xf numFmtId="10" fontId="14" fillId="0" borderId="0" xfId="0" applyNumberFormat="1" applyFont="1" applyAlignment="1"/>
    <xf numFmtId="10" fontId="14" fillId="0" borderId="12" xfId="0" applyNumberFormat="1" applyFont="1" applyBorder="1" applyAlignment="1"/>
    <xf numFmtId="0" fontId="0" fillId="2" borderId="1" xfId="0" applyFill="1" applyBorder="1" applyAlignment="1"/>
    <xf numFmtId="0" fontId="7" fillId="2" borderId="2" xfId="0" applyFont="1" applyFill="1" applyBorder="1" applyAlignment="1"/>
    <xf numFmtId="0" fontId="13" fillId="2" borderId="1" xfId="0" applyFont="1" applyFill="1" applyBorder="1" applyAlignment="1"/>
    <xf numFmtId="10" fontId="14" fillId="2" borderId="2" xfId="0" applyNumberFormat="1" applyFont="1" applyFill="1" applyBorder="1" applyAlignment="1"/>
    <xf numFmtId="0" fontId="13" fillId="2" borderId="2" xfId="0" applyFont="1" applyFill="1" applyBorder="1" applyAlignment="1"/>
    <xf numFmtId="10" fontId="14" fillId="2" borderId="12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0" fontId="15" fillId="0" borderId="4" xfId="0" quotePrefix="1" applyFont="1" applyBorder="1" applyAlignment="1">
      <alignment horizontal="center"/>
    </xf>
    <xf numFmtId="0" fontId="16" fillId="0" borderId="8" xfId="0" quotePrefix="1" applyFont="1" applyBorder="1" applyAlignment="1">
      <alignment horizontal="center"/>
    </xf>
    <xf numFmtId="10" fontId="17" fillId="0" borderId="8" xfId="0" applyNumberFormat="1" applyFont="1" applyBorder="1" applyAlignment="1">
      <alignment horizontal="center"/>
    </xf>
    <xf numFmtId="0" fontId="8" fillId="0" borderId="8" xfId="0" quotePrefix="1" applyFont="1" applyBorder="1" applyAlignment="1">
      <alignment horizontal="center"/>
    </xf>
    <xf numFmtId="10" fontId="17" fillId="0" borderId="5" xfId="0" quotePrefix="1" applyNumberFormat="1" applyFont="1" applyBorder="1" applyAlignment="1">
      <alignment horizontal="center"/>
    </xf>
    <xf numFmtId="10" fontId="17" fillId="0" borderId="8" xfId="0" quotePrefix="1" applyNumberFormat="1" applyFont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8" fillId="0" borderId="9" xfId="0" quotePrefix="1" applyFont="1" applyBorder="1" applyAlignment="1">
      <alignment horizontal="center"/>
    </xf>
    <xf numFmtId="43" fontId="20" fillId="0" borderId="9" xfId="0" applyNumberFormat="1" applyFont="1" applyBorder="1" applyAlignment="1">
      <alignment horizontal="center"/>
    </xf>
    <xf numFmtId="43" fontId="22" fillId="0" borderId="9" xfId="0" applyNumberFormat="1" applyFont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2" borderId="8" xfId="0" applyFont="1" applyFill="1" applyBorder="1" applyAlignment="1"/>
    <xf numFmtId="10" fontId="19" fillId="2" borderId="8" xfId="0" applyNumberFormat="1" applyFont="1" applyFill="1" applyBorder="1" applyAlignment="1"/>
    <xf numFmtId="43" fontId="19" fillId="2" borderId="8" xfId="0" applyNumberFormat="1" applyFont="1" applyFill="1" applyBorder="1" applyAlignment="1"/>
    <xf numFmtId="43" fontId="13" fillId="2" borderId="8" xfId="0" applyNumberFormat="1" applyFont="1" applyFill="1" applyBorder="1" applyAlignment="1"/>
    <xf numFmtId="176" fontId="13" fillId="2" borderId="6" xfId="0" applyNumberFormat="1" applyFont="1" applyFill="1" applyBorder="1" applyAlignment="1"/>
    <xf numFmtId="10" fontId="7" fillId="2" borderId="9" xfId="3" applyNumberFormat="1" applyFont="1" applyFill="1" applyBorder="1" applyAlignment="1"/>
    <xf numFmtId="43" fontId="19" fillId="0" borderId="6" xfId="0" applyNumberFormat="1" applyFont="1" applyBorder="1" applyAlignment="1"/>
    <xf numFmtId="43" fontId="13" fillId="2" borderId="6" xfId="0" applyNumberFormat="1" applyFont="1" applyFill="1" applyBorder="1" applyAlignment="1"/>
    <xf numFmtId="176" fontId="13" fillId="0" borderId="6" xfId="0" applyNumberFormat="1" applyFont="1" applyBorder="1" applyAlignment="1"/>
    <xf numFmtId="176" fontId="13" fillId="0" borderId="10" xfId="0" applyNumberFormat="1" applyFont="1" applyBorder="1" applyAlignment="1"/>
    <xf numFmtId="176" fontId="13" fillId="2" borderId="10" xfId="0" applyNumberFormat="1" applyFont="1" applyFill="1" applyBorder="1" applyAlignment="1"/>
    <xf numFmtId="10" fontId="23" fillId="2" borderId="9" xfId="3" applyNumberFormat="1" applyFont="1" applyFill="1" applyBorder="1" applyAlignment="1"/>
    <xf numFmtId="10" fontId="7" fillId="2" borderId="6" xfId="3" applyNumberFormat="1" applyFont="1" applyFill="1" applyBorder="1" applyAlignment="1"/>
    <xf numFmtId="0" fontId="0" fillId="0" borderId="10" xfId="0" applyBorder="1" applyAlignment="1"/>
    <xf numFmtId="0" fontId="19" fillId="0" borderId="10" xfId="0" applyFont="1" applyBorder="1" applyAlignment="1"/>
    <xf numFmtId="0" fontId="0" fillId="0" borderId="0" xfId="0" applyAlignment="1">
      <alignment horizontal="center"/>
    </xf>
    <xf numFmtId="176" fontId="0" fillId="0" borderId="0" xfId="0" applyNumberFormat="1" applyAlignment="1"/>
    <xf numFmtId="176" fontId="13" fillId="2" borderId="2" xfId="0" applyNumberFormat="1" applyFont="1" applyFill="1" applyBorder="1" applyAlignment="1"/>
    <xf numFmtId="10" fontId="19" fillId="0" borderId="0" xfId="0" applyNumberFormat="1" applyFont="1" applyAlignment="1"/>
    <xf numFmtId="10" fontId="19" fillId="0" borderId="0" xfId="3" applyNumberFormat="1" applyFont="1" applyAlignment="1"/>
    <xf numFmtId="0" fontId="0" fillId="2" borderId="1" xfId="0" applyFill="1" applyBorder="1" applyAlignment="1">
      <alignment horizontal="left"/>
    </xf>
    <xf numFmtId="176" fontId="0" fillId="2" borderId="2" xfId="0" applyNumberFormat="1" applyFill="1" applyBorder="1" applyAlignment="1"/>
    <xf numFmtId="176" fontId="13" fillId="2" borderId="13" xfId="0" applyNumberFormat="1" applyFont="1" applyFill="1" applyBorder="1" applyAlignment="1"/>
    <xf numFmtId="10" fontId="19" fillId="2" borderId="2" xfId="0" applyNumberFormat="1" applyFont="1" applyFill="1" applyBorder="1" applyAlignment="1"/>
    <xf numFmtId="10" fontId="19" fillId="2" borderId="2" xfId="3" applyNumberFormat="1" applyFont="1" applyFill="1" applyBorder="1" applyAlignment="1"/>
    <xf numFmtId="176" fontId="8" fillId="0" borderId="4" xfId="0" quotePrefix="1" applyNumberFormat="1" applyFont="1" applyBorder="1" applyAlignment="1">
      <alignment horizontal="center"/>
    </xf>
    <xf numFmtId="176" fontId="16" fillId="0" borderId="9" xfId="0" applyNumberFormat="1" applyFont="1" applyBorder="1" applyAlignment="1">
      <alignment horizontal="center"/>
    </xf>
    <xf numFmtId="0" fontId="24" fillId="0" borderId="0" xfId="0" applyFont="1" applyAlignment="1"/>
    <xf numFmtId="0" fontId="14" fillId="0" borderId="0" xfId="0" applyFont="1" applyAlignment="1"/>
    <xf numFmtId="176" fontId="14" fillId="2" borderId="0" xfId="0" applyNumberFormat="1" applyFont="1" applyFill="1" applyAlignment="1"/>
    <xf numFmtId="0" fontId="2" fillId="0" borderId="0" xfId="0" applyFont="1" applyAlignment="1"/>
    <xf numFmtId="0" fontId="7" fillId="2" borderId="1" xfId="0" applyFont="1" applyFill="1" applyBorder="1" applyAlignment="1"/>
    <xf numFmtId="0" fontId="0" fillId="2" borderId="2" xfId="0" applyFill="1" applyBorder="1" applyAlignment="1"/>
    <xf numFmtId="0" fontId="0" fillId="2" borderId="3" xfId="0" applyFill="1" applyBorder="1" applyAlignment="1"/>
    <xf numFmtId="0" fontId="0" fillId="2" borderId="0" xfId="0" applyFill="1" applyAlignment="1"/>
    <xf numFmtId="0" fontId="8" fillId="0" borderId="6" xfId="0" quotePrefix="1" applyFont="1" applyBorder="1" applyAlignment="1">
      <alignment horizontal="center"/>
    </xf>
    <xf numFmtId="0" fontId="8" fillId="0" borderId="12" xfId="0" applyFont="1" applyBorder="1" applyAlignment="1"/>
    <xf numFmtId="0" fontId="8" fillId="0" borderId="14" xfId="0" applyFont="1" applyBorder="1" applyAlignment="1"/>
    <xf numFmtId="0" fontId="8" fillId="2" borderId="8" xfId="0" quotePrefix="1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/>
    </xf>
    <xf numFmtId="0" fontId="8" fillId="2" borderId="15" xfId="0" quotePrefix="1" applyFont="1" applyFill="1" applyBorder="1" applyAlignment="1">
      <alignment horizontal="center"/>
    </xf>
    <xf numFmtId="0" fontId="8" fillId="2" borderId="0" xfId="0" applyFont="1" applyFill="1" applyAlignment="1"/>
    <xf numFmtId="0" fontId="8" fillId="2" borderId="9" xfId="0" applyFont="1" applyFill="1" applyBorder="1" applyAlignment="1">
      <alignment horizontal="center"/>
    </xf>
    <xf numFmtId="0" fontId="8" fillId="2" borderId="14" xfId="0" quotePrefix="1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Continuous"/>
    </xf>
    <xf numFmtId="0" fontId="1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25" fillId="2" borderId="1" xfId="0" applyFont="1" applyFill="1" applyBorder="1" applyAlignment="1"/>
    <xf numFmtId="0" fontId="8" fillId="2" borderId="2" xfId="0" applyFont="1" applyFill="1" applyBorder="1" applyAlignment="1"/>
    <xf numFmtId="0" fontId="16" fillId="2" borderId="2" xfId="0" applyFont="1" applyFill="1" applyBorder="1" applyAlignment="1"/>
    <xf numFmtId="0" fontId="18" fillId="2" borderId="2" xfId="0" applyFont="1" applyFill="1" applyBorder="1" applyAlignment="1"/>
    <xf numFmtId="0" fontId="17" fillId="2" borderId="2" xfId="0" applyFont="1" applyFill="1" applyBorder="1" applyAlignment="1"/>
    <xf numFmtId="0" fontId="17" fillId="2" borderId="3" xfId="0" applyFont="1" applyFill="1" applyBorder="1" applyAlignment="1">
      <alignment horizontal="right"/>
    </xf>
    <xf numFmtId="0" fontId="8" fillId="0" borderId="1" xfId="0" quotePrefix="1" applyFont="1" applyBorder="1" applyAlignment="1">
      <alignment horizontal="left"/>
    </xf>
    <xf numFmtId="0" fontId="13" fillId="0" borderId="2" xfId="0" applyFont="1" applyBorder="1" applyAlignment="1"/>
    <xf numFmtId="0" fontId="14" fillId="0" borderId="2" xfId="0" applyFont="1" applyBorder="1" applyAlignment="1"/>
    <xf numFmtId="0" fontId="19" fillId="0" borderId="2" xfId="0" applyFont="1" applyBorder="1" applyAlignment="1"/>
    <xf numFmtId="0" fontId="17" fillId="0" borderId="3" xfId="0" applyFont="1" applyBorder="1" applyAlignment="1">
      <alignment horizontal="right"/>
    </xf>
    <xf numFmtId="0" fontId="8" fillId="0" borderId="6" xfId="0" quotePrefix="1" applyFont="1" applyBorder="1" applyAlignment="1">
      <alignment horizontal="centerContinuous"/>
    </xf>
    <xf numFmtId="0" fontId="16" fillId="0" borderId="12" xfId="0" applyFont="1" applyBorder="1" applyAlignment="1">
      <alignment horizontal="centerContinuous"/>
    </xf>
    <xf numFmtId="0" fontId="18" fillId="0" borderId="14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10" fontId="7" fillId="2" borderId="10" xfId="3" applyNumberFormat="1" applyFont="1" applyFill="1" applyBorder="1" applyAlignment="1"/>
    <xf numFmtId="10" fontId="14" fillId="2" borderId="0" xfId="3" applyNumberFormat="1" applyFont="1" applyFill="1" applyBorder="1" applyAlignment="1"/>
    <xf numFmtId="176" fontId="13" fillId="0" borderId="0" xfId="0" applyNumberFormat="1" applyFont="1" applyAlignment="1"/>
    <xf numFmtId="10" fontId="14" fillId="0" borderId="0" xfId="3" applyNumberFormat="1" applyFont="1" applyAlignment="1"/>
    <xf numFmtId="0" fontId="8" fillId="2" borderId="1" xfId="0" quotePrefix="1" applyFont="1" applyFill="1" applyBorder="1" applyAlignment="1">
      <alignment horizontal="left"/>
    </xf>
    <xf numFmtId="176" fontId="8" fillId="2" borderId="2" xfId="0" applyNumberFormat="1" applyFont="1" applyFill="1" applyBorder="1" applyAlignment="1"/>
    <xf numFmtId="176" fontId="16" fillId="2" borderId="2" xfId="0" applyNumberFormat="1" applyFont="1" applyFill="1" applyBorder="1" applyAlignment="1"/>
    <xf numFmtId="10" fontId="18" fillId="2" borderId="2" xfId="3" applyNumberFormat="1" applyFont="1" applyFill="1" applyBorder="1" applyAlignment="1"/>
    <xf numFmtId="176" fontId="17" fillId="2" borderId="2" xfId="0" applyNumberFormat="1" applyFont="1" applyFill="1" applyBorder="1" applyAlignment="1"/>
    <xf numFmtId="10" fontId="17" fillId="2" borderId="3" xfId="3" applyNumberFormat="1" applyFont="1" applyFill="1" applyBorder="1" applyAlignment="1">
      <alignment horizontal="right"/>
    </xf>
    <xf numFmtId="176" fontId="0" fillId="0" borderId="2" xfId="0" applyNumberFormat="1" applyBorder="1" applyAlignment="1"/>
    <xf numFmtId="176" fontId="13" fillId="0" borderId="2" xfId="0" applyNumberFormat="1" applyFont="1" applyBorder="1" applyAlignment="1"/>
    <xf numFmtId="10" fontId="14" fillId="0" borderId="2" xfId="3" applyNumberFormat="1" applyFont="1" applyBorder="1" applyAlignment="1"/>
    <xf numFmtId="176" fontId="19" fillId="0" borderId="2" xfId="0" applyNumberFormat="1" applyFont="1" applyBorder="1" applyAlignment="1"/>
    <xf numFmtId="10" fontId="17" fillId="0" borderId="3" xfId="3" applyNumberFormat="1" applyFont="1" applyBorder="1" applyAlignment="1">
      <alignment horizontal="right"/>
    </xf>
    <xf numFmtId="176" fontId="8" fillId="0" borderId="6" xfId="0" quotePrefix="1" applyNumberFormat="1" applyFont="1" applyBorder="1" applyAlignment="1">
      <alignment horizontal="centerContinuous"/>
    </xf>
    <xf numFmtId="176" fontId="16" fillId="0" borderId="12" xfId="0" applyNumberFormat="1" applyFont="1" applyBorder="1" applyAlignment="1">
      <alignment horizontal="centerContinuous"/>
    </xf>
    <xf numFmtId="10" fontId="18" fillId="0" borderId="14" xfId="3" applyNumberFormat="1" applyFont="1" applyBorder="1" applyAlignment="1">
      <alignment horizontal="centerContinuous"/>
    </xf>
    <xf numFmtId="176" fontId="8" fillId="0" borderId="6" xfId="0" applyNumberFormat="1" applyFont="1" applyBorder="1" applyAlignment="1">
      <alignment horizontal="centerContinuous"/>
    </xf>
    <xf numFmtId="10" fontId="7" fillId="2" borderId="0" xfId="3" applyNumberFormat="1" applyFont="1" applyFill="1" applyBorder="1" applyAlignment="1"/>
    <xf numFmtId="0" fontId="16" fillId="0" borderId="0" xfId="0" applyFont="1" applyAlignment="1"/>
    <xf numFmtId="0" fontId="18" fillId="0" borderId="0" xfId="0" applyFont="1" applyAlignment="1"/>
    <xf numFmtId="43" fontId="7" fillId="2" borderId="3" xfId="0" applyNumberFormat="1" applyFont="1" applyFill="1" applyBorder="1" applyAlignment="1"/>
    <xf numFmtId="43" fontId="26" fillId="0" borderId="5" xfId="0" applyNumberFormat="1" applyFont="1" applyBorder="1" applyAlignment="1">
      <alignment horizontal="center"/>
    </xf>
    <xf numFmtId="0" fontId="25" fillId="2" borderId="5" xfId="0" quotePrefix="1" applyFont="1" applyFill="1" applyBorder="1" applyAlignment="1">
      <alignment horizontal="center"/>
    </xf>
    <xf numFmtId="43" fontId="0" fillId="2" borderId="2" xfId="0" applyNumberFormat="1" applyFill="1" applyBorder="1" applyAlignment="1"/>
    <xf numFmtId="10" fontId="0" fillId="2" borderId="2" xfId="0" applyNumberFormat="1" applyFill="1" applyBorder="1" applyAlignment="1"/>
    <xf numFmtId="10" fontId="0" fillId="2" borderId="2" xfId="3" applyNumberFormat="1" applyFont="1" applyFill="1" applyBorder="1" applyAlignment="1"/>
    <xf numFmtId="43" fontId="0" fillId="2" borderId="3" xfId="0" applyNumberFormat="1" applyFill="1" applyBorder="1" applyAlignment="1"/>
    <xf numFmtId="43" fontId="18" fillId="0" borderId="0" xfId="0" applyNumberFormat="1" applyFont="1" applyAlignment="1"/>
    <xf numFmtId="43" fontId="8" fillId="0" borderId="0" xfId="0" applyNumberFormat="1" applyFont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76" fontId="0" fillId="2" borderId="4" xfId="0" applyNumberFormat="1" applyFill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10" fontId="0" fillId="2" borderId="6" xfId="3" applyNumberFormat="1" applyFont="1" applyFill="1" applyBorder="1" applyAlignment="1">
      <alignment horizontal="center"/>
    </xf>
    <xf numFmtId="176" fontId="0" fillId="2" borderId="6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176" fontId="0" fillId="0" borderId="10" xfId="0" applyNumberFormat="1" applyBorder="1" applyAlignment="1">
      <alignment horizontal="center"/>
    </xf>
    <xf numFmtId="10" fontId="0" fillId="0" borderId="6" xfId="3" applyNumberFormat="1" applyFont="1" applyBorder="1" applyAlignment="1">
      <alignment horizontal="center"/>
    </xf>
    <xf numFmtId="176" fontId="0" fillId="2" borderId="10" xfId="0" applyNumberFormat="1" applyFill="1" applyBorder="1" applyAlignment="1">
      <alignment horizontal="center"/>
    </xf>
    <xf numFmtId="176" fontId="0" fillId="2" borderId="0" xfId="0" applyNumberFormat="1" applyFill="1" applyAlignment="1">
      <alignment horizontal="center"/>
    </xf>
    <xf numFmtId="2" fontId="0" fillId="2" borderId="0" xfId="0" applyNumberFormat="1" applyFill="1" applyAlignment="1">
      <alignment horizontal="center"/>
    </xf>
    <xf numFmtId="10" fontId="0" fillId="2" borderId="0" xfId="3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0" fontId="14" fillId="2" borderId="3" xfId="0" applyNumberFormat="1" applyFont="1" applyFill="1" applyBorder="1" applyAlignment="1"/>
    <xf numFmtId="0" fontId="0" fillId="0" borderId="1" xfId="0" applyBorder="1" applyAlignment="1"/>
    <xf numFmtId="10" fontId="18" fillId="0" borderId="8" xfId="0" quotePrefix="1" applyNumberFormat="1" applyFont="1" applyBorder="1" applyAlignment="1">
      <alignment horizontal="center"/>
    </xf>
    <xf numFmtId="10" fontId="18" fillId="0" borderId="9" xfId="0" applyNumberFormat="1" applyFont="1" applyBorder="1" applyAlignment="1">
      <alignment horizontal="center"/>
    </xf>
    <xf numFmtId="0" fontId="0" fillId="2" borderId="5" xfId="0" applyFill="1" applyBorder="1" applyAlignment="1"/>
    <xf numFmtId="10" fontId="14" fillId="2" borderId="5" xfId="0" applyNumberFormat="1" applyFont="1" applyFill="1" applyBorder="1" applyAlignment="1"/>
    <xf numFmtId="10" fontId="14" fillId="2" borderId="8" xfId="0" applyNumberFormat="1" applyFont="1" applyFill="1" applyBorder="1" applyAlignment="1"/>
    <xf numFmtId="43" fontId="19" fillId="2" borderId="15" xfId="0" applyNumberFormat="1" applyFont="1" applyFill="1" applyBorder="1" applyAlignment="1"/>
    <xf numFmtId="176" fontId="0" fillId="2" borderId="9" xfId="0" applyNumberFormat="1" applyFill="1" applyBorder="1" applyAlignment="1"/>
    <xf numFmtId="176" fontId="13" fillId="2" borderId="9" xfId="0" applyNumberFormat="1" applyFont="1" applyFill="1" applyBorder="1" applyAlignment="1"/>
    <xf numFmtId="176" fontId="0" fillId="0" borderId="9" xfId="0" applyNumberFormat="1" applyBorder="1" applyAlignment="1"/>
    <xf numFmtId="176" fontId="13" fillId="0" borderId="9" xfId="0" applyNumberFormat="1" applyFont="1" applyBorder="1" applyAlignment="1"/>
    <xf numFmtId="10" fontId="14" fillId="0" borderId="0" xfId="3" applyNumberFormat="1" applyFont="1" applyBorder="1" applyAlignment="1"/>
    <xf numFmtId="0" fontId="27" fillId="0" borderId="7" xfId="0" applyFont="1" applyBorder="1" applyAlignment="1">
      <alignment horizontal="left"/>
    </xf>
    <xf numFmtId="0" fontId="28" fillId="0" borderId="13" xfId="0" applyFont="1" applyBorder="1" applyAlignment="1">
      <alignment horizontal="centerContinuous"/>
    </xf>
    <xf numFmtId="0" fontId="29" fillId="0" borderId="13" xfId="0" applyFont="1" applyBorder="1" applyAlignment="1">
      <alignment horizontal="centerContinuous"/>
    </xf>
    <xf numFmtId="0" fontId="29" fillId="0" borderId="15" xfId="0" applyFont="1" applyBorder="1" applyAlignment="1">
      <alignment horizontal="centerContinuous"/>
    </xf>
    <xf numFmtId="0" fontId="30" fillId="0" borderId="0" xfId="0" applyFont="1" applyAlignment="1"/>
    <xf numFmtId="0" fontId="27" fillId="0" borderId="6" xfId="0" applyFont="1" applyBorder="1" applyAlignment="1">
      <alignment horizontal="left"/>
    </xf>
    <xf numFmtId="0" fontId="28" fillId="0" borderId="12" xfId="0" applyFont="1" applyBorder="1" applyAlignment="1">
      <alignment horizontal="centerContinuous"/>
    </xf>
    <xf numFmtId="0" fontId="29" fillId="0" borderId="12" xfId="0" applyFont="1" applyBorder="1" applyAlignment="1">
      <alignment horizontal="centerContinuous"/>
    </xf>
    <xf numFmtId="0" fontId="29" fillId="0" borderId="14" xfId="0" applyFont="1" applyBorder="1" applyAlignment="1">
      <alignment horizontal="centerContinuous"/>
    </xf>
    <xf numFmtId="0" fontId="9" fillId="0" borderId="4" xfId="0" quotePrefix="1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/>
    <xf numFmtId="0" fontId="9" fillId="0" borderId="9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2" borderId="5" xfId="0" quotePrefix="1" applyFont="1" applyFill="1" applyBorder="1" applyAlignment="1">
      <alignment horizontal="center"/>
    </xf>
    <xf numFmtId="0" fontId="9" fillId="2" borderId="4" xfId="0" quotePrefix="1" applyFont="1" applyFill="1" applyBorder="1" applyAlignment="1">
      <alignment horizontal="center"/>
    </xf>
    <xf numFmtId="0" fontId="9" fillId="2" borderId="8" xfId="0" quotePrefix="1" applyFont="1" applyFill="1" applyBorder="1" applyAlignment="1">
      <alignment horizontal="center"/>
    </xf>
    <xf numFmtId="0" fontId="9" fillId="2" borderId="13" xfId="0" applyFont="1" applyFill="1" applyBorder="1" applyAlignment="1"/>
    <xf numFmtId="0" fontId="9" fillId="2" borderId="7" xfId="0" applyFont="1" applyFill="1" applyBorder="1" applyAlignment="1"/>
    <xf numFmtId="0" fontId="9" fillId="2" borderId="8" xfId="0" applyFont="1" applyFill="1" applyBorder="1" applyAlignment="1"/>
    <xf numFmtId="0" fontId="9" fillId="2" borderId="5" xfId="0" applyFont="1" applyFill="1" applyBorder="1" applyAlignment="1">
      <alignment horizontal="center"/>
    </xf>
    <xf numFmtId="176" fontId="9" fillId="2" borderId="4" xfId="0" applyNumberFormat="1" applyFont="1" applyFill="1" applyBorder="1" applyAlignment="1">
      <alignment horizontal="center"/>
    </xf>
    <xf numFmtId="176" fontId="9" fillId="2" borderId="9" xfId="0" applyNumberFormat="1" applyFont="1" applyFill="1" applyBorder="1" applyAlignment="1">
      <alignment horizontal="center"/>
    </xf>
    <xf numFmtId="2" fontId="9" fillId="2" borderId="9" xfId="0" applyNumberFormat="1" applyFont="1" applyFill="1" applyBorder="1" applyAlignment="1">
      <alignment horizontal="center"/>
    </xf>
    <xf numFmtId="176" fontId="9" fillId="2" borderId="12" xfId="0" applyNumberFormat="1" applyFont="1" applyFill="1" applyBorder="1" applyAlignment="1"/>
    <xf numFmtId="10" fontId="9" fillId="2" borderId="6" xfId="3" applyNumberFormat="1" applyFont="1" applyFill="1" applyBorder="1" applyAlignment="1"/>
    <xf numFmtId="176" fontId="9" fillId="2" borderId="6" xfId="0" applyNumberFormat="1" applyFont="1" applyFill="1" applyBorder="1" applyAlignment="1"/>
    <xf numFmtId="2" fontId="9" fillId="0" borderId="9" xfId="0" applyNumberFormat="1" applyFont="1" applyBorder="1" applyAlignment="1">
      <alignment horizontal="center"/>
    </xf>
    <xf numFmtId="0" fontId="9" fillId="0" borderId="10" xfId="0" quotePrefix="1" applyFont="1" applyBorder="1" applyAlignment="1">
      <alignment horizontal="center"/>
    </xf>
    <xf numFmtId="176" fontId="9" fillId="0" borderId="1" xfId="0" quotePrefix="1" applyNumberFormat="1" applyFont="1" applyBorder="1" applyAlignment="1">
      <alignment horizontal="center"/>
    </xf>
    <xf numFmtId="176" fontId="9" fillId="0" borderId="6" xfId="0" applyNumberFormat="1" applyFont="1" applyBorder="1" applyAlignment="1"/>
    <xf numFmtId="176" fontId="9" fillId="0" borderId="10" xfId="0" applyNumberFormat="1" applyFont="1" applyBorder="1" applyAlignment="1"/>
    <xf numFmtId="10" fontId="9" fillId="0" borderId="6" xfId="3" applyNumberFormat="1" applyFont="1" applyBorder="1" applyAlignment="1"/>
    <xf numFmtId="0" fontId="9" fillId="2" borderId="10" xfId="0" quotePrefix="1" applyFont="1" applyFill="1" applyBorder="1" applyAlignment="1">
      <alignment horizontal="center"/>
    </xf>
    <xf numFmtId="176" fontId="9" fillId="2" borderId="10" xfId="0" quotePrefix="1" applyNumberFormat="1" applyFont="1" applyFill="1" applyBorder="1" applyAlignment="1">
      <alignment horizontal="center"/>
    </xf>
    <xf numFmtId="176" fontId="9" fillId="2" borderId="10" xfId="0" applyNumberFormat="1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176" fontId="9" fillId="0" borderId="10" xfId="0" applyNumberFormat="1" applyFont="1" applyBorder="1" applyAlignment="1">
      <alignment horizontal="center" vertical="center"/>
    </xf>
    <xf numFmtId="176" fontId="9" fillId="0" borderId="10" xfId="0" quotePrefix="1" applyNumberFormat="1" applyFont="1" applyBorder="1" applyAlignment="1">
      <alignment horizontal="center" vertical="center"/>
    </xf>
    <xf numFmtId="0" fontId="9" fillId="2" borderId="0" xfId="0" quotePrefix="1" applyFont="1" applyFill="1" applyAlignment="1">
      <alignment horizontal="center"/>
    </xf>
    <xf numFmtId="176" fontId="9" fillId="2" borderId="0" xfId="0" quotePrefix="1" applyNumberFormat="1" applyFont="1" applyFill="1" applyAlignment="1"/>
    <xf numFmtId="176" fontId="9" fillId="2" borderId="0" xfId="0" quotePrefix="1" applyNumberFormat="1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176" fontId="9" fillId="0" borderId="0" xfId="0" quotePrefix="1" applyNumberFormat="1" applyFont="1" applyAlignment="1">
      <alignment horizontal="center"/>
    </xf>
    <xf numFmtId="10" fontId="9" fillId="2" borderId="0" xfId="3" applyNumberFormat="1" applyFont="1" applyFill="1" applyBorder="1" applyAlignment="1"/>
    <xf numFmtId="2" fontId="9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31" fillId="0" borderId="0" xfId="0" applyFont="1" applyAlignment="1">
      <alignment horizontal="left"/>
    </xf>
    <xf numFmtId="0" fontId="31" fillId="0" borderId="0" xfId="0" applyFont="1" applyAlignment="1">
      <alignment horizontal="centerContinuous"/>
    </xf>
    <xf numFmtId="0" fontId="32" fillId="0" borderId="0" xfId="0" applyFont="1" applyAlignment="1">
      <alignment horizontal="centerContinuous"/>
    </xf>
    <xf numFmtId="10" fontId="33" fillId="0" borderId="0" xfId="0" applyNumberFormat="1" applyFont="1" applyAlignment="1">
      <alignment horizontal="centerContinuous"/>
    </xf>
    <xf numFmtId="10" fontId="33" fillId="0" borderId="0" xfId="0" applyNumberFormat="1" applyFont="1" applyAlignment="1">
      <alignment horizontal="center"/>
    </xf>
    <xf numFmtId="0" fontId="34" fillId="0" borderId="0" xfId="0" applyFont="1" applyAlignment="1"/>
    <xf numFmtId="0" fontId="35" fillId="0" borderId="0" xfId="0" applyFont="1" applyAlignment="1"/>
    <xf numFmtId="10" fontId="36" fillId="0" borderId="0" xfId="0" applyNumberFormat="1" applyFont="1" applyAlignment="1"/>
    <xf numFmtId="10" fontId="36" fillId="0" borderId="12" xfId="0" applyNumberFormat="1" applyFont="1" applyBorder="1" applyAlignment="1">
      <alignment horizontal="center"/>
    </xf>
    <xf numFmtId="0" fontId="37" fillId="0" borderId="7" xfId="0" applyFont="1" applyBorder="1" applyAlignment="1">
      <alignment horizontal="left"/>
    </xf>
    <xf numFmtId="0" fontId="37" fillId="0" borderId="13" xfId="0" applyFont="1" applyBorder="1" applyAlignment="1">
      <alignment horizontal="centerContinuous"/>
    </xf>
    <xf numFmtId="0" fontId="38" fillId="0" borderId="13" xfId="0" applyFont="1" applyBorder="1" applyAlignment="1">
      <alignment horizontal="centerContinuous"/>
    </xf>
    <xf numFmtId="0" fontId="34" fillId="0" borderId="15" xfId="0" applyFont="1" applyBorder="1" applyAlignment="1"/>
    <xf numFmtId="0" fontId="37" fillId="0" borderId="6" xfId="0" applyFont="1" applyBorder="1" applyAlignment="1">
      <alignment horizontal="left"/>
    </xf>
    <xf numFmtId="0" fontId="37" fillId="0" borderId="12" xfId="0" applyFont="1" applyBorder="1" applyAlignment="1">
      <alignment horizontal="centerContinuous"/>
    </xf>
    <xf numFmtId="0" fontId="38" fillId="0" borderId="12" xfId="0" applyFont="1" applyBorder="1" applyAlignment="1">
      <alignment horizontal="centerContinuous"/>
    </xf>
    <xf numFmtId="0" fontId="34" fillId="0" borderId="14" xfId="0" applyFont="1" applyBorder="1" applyAlignment="1"/>
    <xf numFmtId="0" fontId="34" fillId="0" borderId="4" xfId="0" quotePrefix="1" applyFont="1" applyBorder="1" applyAlignment="1">
      <alignment horizontal="center"/>
    </xf>
    <xf numFmtId="0" fontId="34" fillId="0" borderId="6" xfId="0" applyFont="1" applyBorder="1" applyAlignment="1">
      <alignment horizontal="center"/>
    </xf>
    <xf numFmtId="0" fontId="34" fillId="0" borderId="14" xfId="0" quotePrefix="1" applyFont="1" applyBorder="1" applyAlignment="1">
      <alignment horizontal="center"/>
    </xf>
    <xf numFmtId="43" fontId="40" fillId="0" borderId="9" xfId="0" applyNumberFormat="1" applyFont="1" applyBorder="1" applyAlignment="1">
      <alignment horizontal="center"/>
    </xf>
    <xf numFmtId="0" fontId="34" fillId="2" borderId="4" xfId="0" applyFont="1" applyFill="1" applyBorder="1" applyAlignment="1">
      <alignment horizontal="center"/>
    </xf>
    <xf numFmtId="0" fontId="34" fillId="2" borderId="7" xfId="0" applyFont="1" applyFill="1" applyBorder="1" applyAlignment="1"/>
    <xf numFmtId="0" fontId="34" fillId="2" borderId="13" xfId="0" applyFont="1" applyFill="1" applyBorder="1" applyAlignment="1"/>
    <xf numFmtId="43" fontId="39" fillId="2" borderId="15" xfId="0" applyNumberFormat="1" applyFont="1" applyFill="1" applyBorder="1" applyAlignment="1"/>
    <xf numFmtId="176" fontId="34" fillId="2" borderId="6" xfId="0" applyNumberFormat="1" applyFont="1" applyFill="1" applyBorder="1" applyAlignment="1"/>
    <xf numFmtId="176" fontId="34" fillId="2" borderId="12" xfId="0" applyNumberFormat="1" applyFont="1" applyFill="1" applyBorder="1" applyAlignment="1"/>
    <xf numFmtId="0" fontId="34" fillId="0" borderId="10" xfId="0" quotePrefix="1" applyFont="1" applyBorder="1" applyAlignment="1">
      <alignment horizontal="center"/>
    </xf>
    <xf numFmtId="176" fontId="34" fillId="0" borderId="6" xfId="0" applyNumberFormat="1" applyFont="1" applyBorder="1" applyAlignment="1"/>
    <xf numFmtId="176" fontId="34" fillId="0" borderId="10" xfId="0" applyNumberFormat="1" applyFont="1" applyBorder="1" applyAlignment="1"/>
    <xf numFmtId="0" fontId="34" fillId="0" borderId="10" xfId="0" applyFont="1" applyBorder="1" applyAlignment="1">
      <alignment horizontal="center"/>
    </xf>
    <xf numFmtId="0" fontId="34" fillId="2" borderId="10" xfId="0" quotePrefix="1" applyFont="1" applyFill="1" applyBorder="1" applyAlignment="1">
      <alignment horizontal="center"/>
    </xf>
    <xf numFmtId="176" fontId="34" fillId="2" borderId="10" xfId="0" applyNumberFormat="1" applyFont="1" applyFill="1" applyBorder="1" applyAlignment="1"/>
    <xf numFmtId="0" fontId="34" fillId="2" borderId="10" xfId="0" applyFont="1" applyFill="1" applyBorder="1" applyAlignment="1">
      <alignment horizontal="center"/>
    </xf>
    <xf numFmtId="0" fontId="34" fillId="2" borderId="0" xfId="0" quotePrefix="1" applyFont="1" applyFill="1" applyAlignment="1">
      <alignment horizontal="center"/>
    </xf>
    <xf numFmtId="176" fontId="34" fillId="2" borderId="0" xfId="0" applyNumberFormat="1" applyFont="1" applyFill="1" applyAlignment="1"/>
    <xf numFmtId="176" fontId="35" fillId="0" borderId="0" xfId="0" applyNumberFormat="1" applyFont="1" applyAlignment="1"/>
    <xf numFmtId="10" fontId="36" fillId="0" borderId="0" xfId="3" applyNumberFormat="1" applyFont="1" applyBorder="1" applyAlignment="1">
      <alignment horizontal="center"/>
    </xf>
    <xf numFmtId="0" fontId="34" fillId="0" borderId="0" xfId="0" applyFont="1" applyAlignment="1">
      <alignment horizontal="left"/>
    </xf>
    <xf numFmtId="10" fontId="36" fillId="0" borderId="0" xfId="0" applyNumberFormat="1" applyFont="1" applyAlignment="1">
      <alignment horizontal="center"/>
    </xf>
    <xf numFmtId="0" fontId="43" fillId="0" borderId="0" xfId="0" applyFont="1" applyAlignment="1">
      <alignment horizontal="centerContinuous"/>
    </xf>
    <xf numFmtId="0" fontId="44" fillId="0" borderId="0" xfId="0" applyFont="1" applyAlignment="1">
      <alignment horizontal="centerContinuous"/>
    </xf>
    <xf numFmtId="0" fontId="43" fillId="0" borderId="0" xfId="0" applyFont="1" applyAlignment="1"/>
    <xf numFmtId="0" fontId="44" fillId="0" borderId="0" xfId="0" applyFont="1" applyAlignment="1"/>
    <xf numFmtId="0" fontId="43" fillId="0" borderId="2" xfId="0" applyFont="1" applyBorder="1" applyAlignment="1"/>
    <xf numFmtId="0" fontId="44" fillId="0" borderId="2" xfId="0" applyFont="1" applyBorder="1" applyAlignment="1"/>
    <xf numFmtId="0" fontId="45" fillId="0" borderId="2" xfId="0" applyFont="1" applyBorder="1" applyAlignment="1"/>
    <xf numFmtId="10" fontId="18" fillId="0" borderId="10" xfId="3" applyNumberFormat="1" applyFont="1" applyBorder="1" applyAlignment="1">
      <alignment horizontal="center"/>
    </xf>
    <xf numFmtId="176" fontId="43" fillId="2" borderId="10" xfId="0" applyNumberFormat="1" applyFont="1" applyFill="1" applyBorder="1" applyAlignment="1"/>
    <xf numFmtId="10" fontId="44" fillId="2" borderId="0" xfId="3" applyNumberFormat="1" applyFont="1" applyFill="1" applyBorder="1" applyAlignment="1"/>
    <xf numFmtId="176" fontId="43" fillId="0" borderId="2" xfId="0" applyNumberFormat="1" applyFont="1" applyBorder="1" applyAlignment="1"/>
    <xf numFmtId="10" fontId="44" fillId="0" borderId="2" xfId="3" applyNumberFormat="1" applyFont="1" applyBorder="1" applyAlignment="1"/>
    <xf numFmtId="176" fontId="45" fillId="0" borderId="2" xfId="0" applyNumberFormat="1" applyFont="1" applyBorder="1" applyAlignment="1"/>
    <xf numFmtId="176" fontId="46" fillId="0" borderId="0" xfId="0" applyNumberFormat="1" applyFont="1" applyAlignment="1">
      <alignment horizontal="centerContinuous"/>
    </xf>
    <xf numFmtId="0" fontId="46" fillId="0" borderId="0" xfId="0" applyFont="1" applyAlignment="1"/>
    <xf numFmtId="176" fontId="46" fillId="0" borderId="0" xfId="0" applyNumberFormat="1" applyFont="1" applyAlignment="1"/>
    <xf numFmtId="0" fontId="46" fillId="0" borderId="0" xfId="0" quotePrefix="1" applyFont="1" applyAlignment="1">
      <alignment horizontal="left"/>
    </xf>
    <xf numFmtId="176" fontId="8" fillId="0" borderId="0" xfId="0" applyNumberFormat="1" applyFont="1" applyAlignment="1"/>
    <xf numFmtId="0" fontId="46" fillId="0" borderId="10" xfId="0" quotePrefix="1" applyFont="1" applyBorder="1" applyAlignment="1">
      <alignment horizontal="center"/>
    </xf>
    <xf numFmtId="0" fontId="46" fillId="0" borderId="1" xfId="0" quotePrefix="1" applyFont="1" applyBorder="1" applyAlignment="1">
      <alignment horizontal="center"/>
    </xf>
    <xf numFmtId="176" fontId="46" fillId="0" borderId="3" xfId="0" applyNumberFormat="1" applyFont="1" applyBorder="1" applyAlignment="1">
      <alignment horizontal="center"/>
    </xf>
    <xf numFmtId="176" fontId="46" fillId="0" borderId="10" xfId="0" quotePrefix="1" applyNumberFormat="1" applyFont="1" applyBorder="1" applyAlignment="1">
      <alignment horizontal="center"/>
    </xf>
    <xf numFmtId="0" fontId="46" fillId="3" borderId="5" xfId="0" quotePrefix="1" applyFont="1" applyFill="1" applyBorder="1" applyAlignment="1">
      <alignment horizontal="left"/>
    </xf>
    <xf numFmtId="176" fontId="8" fillId="3" borderId="11" xfId="0" applyNumberFormat="1" applyFont="1" applyFill="1" applyBorder="1" applyAlignment="1">
      <alignment horizontal="center"/>
    </xf>
    <xf numFmtId="0" fontId="46" fillId="0" borderId="5" xfId="0" applyFont="1" applyBorder="1" applyAlignment="1"/>
    <xf numFmtId="178" fontId="8" fillId="0" borderId="11" xfId="2" applyNumberFormat="1" applyFont="1" applyBorder="1" applyAlignment="1"/>
    <xf numFmtId="0" fontId="46" fillId="3" borderId="5" xfId="0" applyFont="1" applyFill="1" applyBorder="1" applyAlignment="1">
      <alignment horizontal="left"/>
    </xf>
    <xf numFmtId="0" fontId="46" fillId="4" borderId="5" xfId="0" applyFont="1" applyFill="1" applyBorder="1" applyAlignment="1">
      <alignment horizontal="left"/>
    </xf>
    <xf numFmtId="0" fontId="46" fillId="0" borderId="5" xfId="0" quotePrefix="1" applyFont="1" applyBorder="1" applyAlignment="1">
      <alignment horizontal="left"/>
    </xf>
    <xf numFmtId="0" fontId="46" fillId="0" borderId="5" xfId="0" applyFont="1" applyBorder="1" applyAlignment="1">
      <alignment horizontal="left"/>
    </xf>
    <xf numFmtId="0" fontId="46" fillId="0" borderId="2" xfId="0" quotePrefix="1" applyFont="1" applyBorder="1" applyAlignment="1">
      <alignment horizontal="center"/>
    </xf>
    <xf numFmtId="176" fontId="8" fillId="0" borderId="2" xfId="0" applyNumberFormat="1" applyFont="1" applyBorder="1" applyAlignment="1"/>
    <xf numFmtId="178" fontId="25" fillId="0" borderId="3" xfId="2" applyNumberFormat="1" applyFont="1" applyBorder="1" applyAlignment="1"/>
    <xf numFmtId="0" fontId="47" fillId="0" borderId="0" xfId="0" applyFont="1" applyAlignment="1">
      <alignment horizontal="centerContinuous"/>
    </xf>
    <xf numFmtId="176" fontId="47" fillId="0" borderId="0" xfId="0" applyNumberFormat="1" applyFont="1" applyAlignment="1">
      <alignment horizontal="centerContinuous"/>
    </xf>
    <xf numFmtId="176" fontId="48" fillId="0" borderId="0" xfId="0" applyNumberFormat="1" applyFont="1" applyAlignment="1">
      <alignment horizontal="centerContinuous"/>
    </xf>
    <xf numFmtId="176" fontId="49" fillId="0" borderId="0" xfId="0" applyNumberFormat="1" applyFont="1" applyAlignment="1">
      <alignment horizontal="centerContinuous"/>
    </xf>
    <xf numFmtId="176" fontId="50" fillId="0" borderId="0" xfId="0" applyNumberFormat="1" applyFont="1" applyAlignment="1"/>
    <xf numFmtId="176" fontId="51" fillId="0" borderId="0" xfId="0" applyNumberFormat="1" applyFont="1" applyAlignment="1"/>
    <xf numFmtId="10" fontId="18" fillId="0" borderId="8" xfId="0" applyNumberFormat="1" applyFont="1" applyBorder="1" applyAlignment="1">
      <alignment horizontal="center"/>
    </xf>
    <xf numFmtId="0" fontId="46" fillId="3" borderId="8" xfId="0" quotePrefix="1" applyFont="1" applyFill="1" applyBorder="1" applyAlignment="1">
      <alignment horizontal="left"/>
    </xf>
    <xf numFmtId="176" fontId="7" fillId="3" borderId="8" xfId="0" applyNumberFormat="1" applyFont="1" applyFill="1" applyBorder="1" applyAlignment="1">
      <alignment horizontal="center"/>
    </xf>
    <xf numFmtId="176" fontId="13" fillId="3" borderId="8" xfId="0" applyNumberFormat="1" applyFont="1" applyFill="1" applyBorder="1" applyAlignment="1">
      <alignment horizontal="center"/>
    </xf>
    <xf numFmtId="176" fontId="14" fillId="3" borderId="8" xfId="0" applyNumberFormat="1" applyFont="1" applyFill="1" applyBorder="1" applyAlignment="1">
      <alignment horizontal="center"/>
    </xf>
    <xf numFmtId="176" fontId="14" fillId="3" borderId="5" xfId="0" applyNumberFormat="1" applyFont="1" applyFill="1" applyBorder="1" applyAlignment="1">
      <alignment horizontal="center"/>
    </xf>
    <xf numFmtId="176" fontId="7" fillId="0" borderId="5" xfId="0" applyNumberFormat="1" applyFont="1" applyBorder="1" applyAlignment="1"/>
    <xf numFmtId="176" fontId="13" fillId="0" borderId="5" xfId="0" applyNumberFormat="1" applyFont="1" applyBorder="1" applyAlignment="1"/>
    <xf numFmtId="178" fontId="13" fillId="0" borderId="5" xfId="2" applyNumberFormat="1" applyFont="1" applyBorder="1" applyAlignment="1"/>
    <xf numFmtId="176" fontId="7" fillId="0" borderId="5" xfId="0" applyNumberFormat="1" applyFont="1" applyBorder="1" applyAlignment="1">
      <alignment horizontal="left"/>
    </xf>
    <xf numFmtId="178" fontId="7" fillId="0" borderId="5" xfId="2" applyNumberFormat="1" applyFont="1" applyBorder="1" applyAlignment="1"/>
    <xf numFmtId="178" fontId="7" fillId="3" borderId="5" xfId="2" applyNumberFormat="1" applyFont="1" applyFill="1" applyBorder="1" applyAlignment="1"/>
    <xf numFmtId="176" fontId="7" fillId="3" borderId="5" xfId="0" applyNumberFormat="1" applyFont="1" applyFill="1" applyBorder="1" applyAlignment="1"/>
    <xf numFmtId="176" fontId="7" fillId="0" borderId="5" xfId="0" applyNumberFormat="1" applyFont="1" applyBorder="1" applyAlignment="1">
      <alignment horizontal="right"/>
    </xf>
    <xf numFmtId="178" fontId="13" fillId="4" borderId="5" xfId="2" applyNumberFormat="1" applyFont="1" applyFill="1" applyBorder="1" applyAlignment="1"/>
    <xf numFmtId="176" fontId="7" fillId="4" borderId="5" xfId="0" applyNumberFormat="1" applyFont="1" applyFill="1" applyBorder="1" applyAlignment="1"/>
    <xf numFmtId="178" fontId="7" fillId="4" borderId="5" xfId="2" applyNumberFormat="1" applyFont="1" applyFill="1" applyBorder="1" applyAlignment="1"/>
    <xf numFmtId="176" fontId="13" fillId="4" borderId="5" xfId="0" applyNumberFormat="1" applyFont="1" applyFill="1" applyBorder="1" applyAlignment="1"/>
    <xf numFmtId="176" fontId="23" fillId="4" borderId="5" xfId="0" applyNumberFormat="1" applyFont="1" applyFill="1" applyBorder="1" applyAlignment="1"/>
    <xf numFmtId="0" fontId="46" fillId="0" borderId="9" xfId="0" quotePrefix="1" applyFont="1" applyBorder="1" applyAlignment="1">
      <alignment horizontal="center"/>
    </xf>
    <xf numFmtId="176" fontId="7" fillId="0" borderId="9" xfId="0" applyNumberFormat="1" applyFont="1" applyBorder="1" applyAlignment="1"/>
    <xf numFmtId="176" fontId="16" fillId="0" borderId="0" xfId="0" applyNumberFormat="1" applyFont="1" applyAlignment="1"/>
    <xf numFmtId="176" fontId="18" fillId="0" borderId="0" xfId="0" applyNumberFormat="1" applyFont="1" applyAlignment="1"/>
    <xf numFmtId="0" fontId="52" fillId="0" borderId="0" xfId="0" applyFont="1" applyAlignment="1">
      <alignment horizontal="centerContinuous"/>
    </xf>
    <xf numFmtId="176" fontId="8" fillId="0" borderId="0" xfId="0" applyNumberFormat="1" applyFont="1" applyAlignment="1">
      <alignment horizontal="centerContinuous"/>
    </xf>
    <xf numFmtId="0" fontId="8" fillId="0" borderId="0" xfId="0" applyFont="1" applyAlignment="1">
      <alignment horizontal="centerContinuous"/>
    </xf>
    <xf numFmtId="176" fontId="8" fillId="0" borderId="10" xfId="0" applyNumberFormat="1" applyFont="1" applyBorder="1" applyAlignment="1">
      <alignment horizontal="center"/>
    </xf>
    <xf numFmtId="0" fontId="8" fillId="0" borderId="4" xfId="0" applyFont="1" applyBorder="1" applyAlignment="1"/>
    <xf numFmtId="0" fontId="8" fillId="0" borderId="10" xfId="0" applyFont="1" applyBorder="1" applyAlignment="1">
      <alignment horizontal="right"/>
    </xf>
    <xf numFmtId="176" fontId="8" fillId="0" borderId="10" xfId="0" quotePrefix="1" applyNumberFormat="1" applyFont="1" applyBorder="1" applyAlignment="1">
      <alignment horizontal="left"/>
    </xf>
    <xf numFmtId="176" fontId="8" fillId="0" borderId="10" xfId="0" applyNumberFormat="1" applyFont="1" applyBorder="1" applyAlignment="1"/>
    <xf numFmtId="0" fontId="34" fillId="0" borderId="10" xfId="0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10" xfId="0" quotePrefix="1" applyFont="1" applyBorder="1" applyAlignment="1">
      <alignment horizontal="right"/>
    </xf>
    <xf numFmtId="176" fontId="53" fillId="0" borderId="10" xfId="4" applyNumberFormat="1" applyFont="1" applyBorder="1"/>
    <xf numFmtId="176" fontId="53" fillId="0" borderId="8" xfId="4" applyNumberFormat="1" applyFont="1" applyBorder="1"/>
    <xf numFmtId="176" fontId="53" fillId="0" borderId="9" xfId="4" applyNumberFormat="1" applyFont="1" applyBorder="1"/>
    <xf numFmtId="180" fontId="13" fillId="0" borderId="10" xfId="1" applyNumberFormat="1" applyFont="1" applyFill="1" applyBorder="1" applyAlignment="1"/>
    <xf numFmtId="180" fontId="53" fillId="0" borderId="10" xfId="1" applyNumberFormat="1" applyFont="1" applyFill="1" applyBorder="1" applyAlignment="1"/>
    <xf numFmtId="180" fontId="53" fillId="0" borderId="3" xfId="1" applyNumberFormat="1" applyFont="1" applyFill="1" applyBorder="1" applyAlignment="1"/>
    <xf numFmtId="176" fontId="13" fillId="0" borderId="10" xfId="4" applyNumberFormat="1" applyFont="1" applyBorder="1"/>
    <xf numFmtId="176" fontId="54" fillId="0" borderId="10" xfId="4" applyNumberFormat="1" applyFont="1" applyBorder="1"/>
    <xf numFmtId="176" fontId="55" fillId="0" borderId="10" xfId="4" applyNumberFormat="1" applyFont="1" applyBorder="1"/>
    <xf numFmtId="180" fontId="54" fillId="0" borderId="10" xfId="1" applyNumberFormat="1" applyFont="1" applyFill="1" applyBorder="1" applyAlignment="1"/>
    <xf numFmtId="176" fontId="54" fillId="5" borderId="10" xfId="4" applyNumberFormat="1" applyFont="1" applyFill="1" applyBorder="1"/>
    <xf numFmtId="176" fontId="56" fillId="0" borderId="10" xfId="0" applyNumberFormat="1" applyFont="1" applyBorder="1" applyAlignment="1"/>
    <xf numFmtId="176" fontId="57" fillId="0" borderId="0" xfId="4" applyNumberFormat="1" applyFont="1"/>
    <xf numFmtId="176" fontId="7" fillId="0" borderId="0" xfId="4" applyNumberFormat="1"/>
    <xf numFmtId="176" fontId="7" fillId="0" borderId="0" xfId="4" applyNumberFormat="1" applyAlignment="1">
      <alignment horizontal="right"/>
    </xf>
    <xf numFmtId="179" fontId="7" fillId="0" borderId="0" xfId="5" applyNumberFormat="1" applyFont="1" applyAlignment="1">
      <alignment horizontal="right"/>
    </xf>
    <xf numFmtId="0" fontId="61" fillId="0" borderId="0" xfId="4" applyFont="1"/>
    <xf numFmtId="176" fontId="8" fillId="0" borderId="0" xfId="4" applyNumberFormat="1" applyFont="1"/>
    <xf numFmtId="176" fontId="8" fillId="0" borderId="0" xfId="4" quotePrefix="1" applyNumberFormat="1" applyFont="1"/>
    <xf numFmtId="176" fontId="8" fillId="0" borderId="10" xfId="4" applyNumberFormat="1" applyFont="1" applyBorder="1" applyAlignment="1">
      <alignment horizontal="centerContinuous"/>
    </xf>
    <xf numFmtId="176" fontId="9" fillId="0" borderId="1" xfId="4" applyNumberFormat="1" applyFont="1" applyBorder="1" applyAlignment="1">
      <alignment horizontal="centerContinuous"/>
    </xf>
    <xf numFmtId="176" fontId="7" fillId="0" borderId="3" xfId="4" applyNumberFormat="1" applyBorder="1" applyAlignment="1">
      <alignment horizontal="centerContinuous"/>
    </xf>
    <xf numFmtId="176" fontId="9" fillId="0" borderId="1" xfId="4" applyNumberFormat="1" applyFont="1" applyBorder="1" applyAlignment="1">
      <alignment horizontal="right"/>
    </xf>
    <xf numFmtId="179" fontId="7" fillId="0" borderId="3" xfId="5" applyNumberFormat="1" applyFont="1" applyBorder="1" applyAlignment="1">
      <alignment horizontal="right"/>
    </xf>
    <xf numFmtId="176" fontId="8" fillId="0" borderId="10" xfId="4" quotePrefix="1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center"/>
    </xf>
    <xf numFmtId="176" fontId="9" fillId="0" borderId="10" xfId="4" applyNumberFormat="1" applyFont="1" applyBorder="1" applyAlignment="1">
      <alignment horizontal="right"/>
    </xf>
    <xf numFmtId="179" fontId="9" fillId="0" borderId="10" xfId="5" applyNumberFormat="1" applyFont="1" applyBorder="1" applyAlignment="1">
      <alignment horizontal="right"/>
    </xf>
    <xf numFmtId="176" fontId="8" fillId="0" borderId="9" xfId="4" quotePrefix="1" applyNumberFormat="1" applyFont="1" applyBorder="1" applyAlignment="1">
      <alignment horizontal="center"/>
    </xf>
    <xf numFmtId="176" fontId="7" fillId="0" borderId="9" xfId="4" applyNumberFormat="1" applyBorder="1" applyAlignment="1">
      <alignment horizontal="center"/>
    </xf>
    <xf numFmtId="176" fontId="7" fillId="0" borderId="9" xfId="4" applyNumberFormat="1" applyBorder="1" applyAlignment="1">
      <alignment horizontal="right"/>
    </xf>
    <xf numFmtId="179" fontId="7" fillId="0" borderId="9" xfId="5" applyNumberFormat="1" applyFont="1" applyBorder="1" applyAlignment="1">
      <alignment horizontal="right"/>
    </xf>
    <xf numFmtId="176" fontId="8" fillId="6" borderId="9" xfId="4" applyNumberFormat="1" applyFont="1" applyFill="1" applyBorder="1" applyAlignment="1">
      <alignment horizontal="right"/>
    </xf>
    <xf numFmtId="176" fontId="7" fillId="6" borderId="9" xfId="4" applyNumberFormat="1" applyFill="1" applyBorder="1"/>
    <xf numFmtId="176" fontId="7" fillId="6" borderId="9" xfId="4" applyNumberFormat="1" applyFill="1" applyBorder="1" applyAlignment="1">
      <alignment horizontal="right"/>
    </xf>
    <xf numFmtId="179" fontId="7" fillId="6" borderId="9" xfId="5" applyNumberFormat="1" applyFont="1" applyFill="1" applyBorder="1" applyAlignment="1">
      <alignment horizontal="right"/>
    </xf>
    <xf numFmtId="176" fontId="8" fillId="0" borderId="9" xfId="4" applyNumberFormat="1" applyFont="1" applyBorder="1" applyAlignment="1">
      <alignment horizontal="right"/>
    </xf>
    <xf numFmtId="176" fontId="7" fillId="0" borderId="9" xfId="4" applyNumberFormat="1" applyBorder="1"/>
    <xf numFmtId="176" fontId="62" fillId="7" borderId="9" xfId="4" applyNumberFormat="1" applyFont="1" applyFill="1" applyBorder="1" applyAlignment="1">
      <alignment horizontal="right"/>
    </xf>
    <xf numFmtId="176" fontId="63" fillId="7" borderId="9" xfId="4" applyNumberFormat="1" applyFont="1" applyFill="1" applyBorder="1"/>
    <xf numFmtId="176" fontId="63" fillId="7" borderId="9" xfId="4" applyNumberFormat="1" applyFont="1" applyFill="1" applyBorder="1" applyAlignment="1">
      <alignment horizontal="right"/>
    </xf>
    <xf numFmtId="179" fontId="63" fillId="7" borderId="9" xfId="5" applyNumberFormat="1" applyFont="1" applyFill="1" applyBorder="1" applyAlignment="1">
      <alignment horizontal="right"/>
    </xf>
    <xf numFmtId="176" fontId="8" fillId="0" borderId="10" xfId="4" quotePrefix="1" applyNumberFormat="1" applyFont="1" applyBorder="1" applyAlignment="1">
      <alignment horizontal="right"/>
    </xf>
    <xf numFmtId="176" fontId="7" fillId="0" borderId="10" xfId="4" applyNumberFormat="1" applyBorder="1"/>
    <xf numFmtId="176" fontId="7" fillId="0" borderId="10" xfId="4" applyNumberFormat="1" applyBorder="1" applyAlignment="1">
      <alignment horizontal="right"/>
    </xf>
    <xf numFmtId="179" fontId="7" fillId="0" borderId="10" xfId="5" applyNumberFormat="1" applyFont="1" applyBorder="1" applyAlignment="1">
      <alignment horizontal="right"/>
    </xf>
    <xf numFmtId="176" fontId="8" fillId="0" borderId="10" xfId="4" applyNumberFormat="1" applyFont="1" applyBorder="1" applyAlignment="1">
      <alignment horizontal="right"/>
    </xf>
    <xf numFmtId="179" fontId="0" fillId="0" borderId="10" xfId="5" applyNumberFormat="1" applyFont="1" applyBorder="1" applyAlignment="1">
      <alignment horizontal="right"/>
    </xf>
    <xf numFmtId="176" fontId="64" fillId="0" borderId="10" xfId="4" applyNumberFormat="1" applyFont="1" applyBorder="1" applyAlignment="1">
      <alignment horizontal="right"/>
    </xf>
    <xf numFmtId="176" fontId="16" fillId="7" borderId="9" xfId="4" applyNumberFormat="1" applyFont="1" applyFill="1" applyBorder="1" applyAlignment="1">
      <alignment horizontal="right"/>
    </xf>
    <xf numFmtId="176" fontId="13" fillId="7" borderId="9" xfId="4" applyNumberFormat="1" applyFont="1" applyFill="1" applyBorder="1"/>
    <xf numFmtId="176" fontId="13" fillId="7" borderId="9" xfId="4" applyNumberFormat="1" applyFont="1" applyFill="1" applyBorder="1" applyAlignment="1">
      <alignment horizontal="right"/>
    </xf>
    <xf numFmtId="179" fontId="13" fillId="7" borderId="9" xfId="5" applyNumberFormat="1" applyFont="1" applyFill="1" applyBorder="1" applyAlignment="1">
      <alignment horizontal="right"/>
    </xf>
    <xf numFmtId="176" fontId="16" fillId="8" borderId="9" xfId="4" applyNumberFormat="1" applyFont="1" applyFill="1" applyBorder="1" applyAlignment="1">
      <alignment horizontal="right"/>
    </xf>
    <xf numFmtId="176" fontId="13" fillId="8" borderId="9" xfId="4" applyNumberFormat="1" applyFont="1" applyFill="1" applyBorder="1"/>
    <xf numFmtId="176" fontId="13" fillId="8" borderId="9" xfId="4" applyNumberFormat="1" applyFont="1" applyFill="1" applyBorder="1" applyAlignment="1">
      <alignment horizontal="right"/>
    </xf>
    <xf numFmtId="41" fontId="13" fillId="8" borderId="9" xfId="5" applyNumberFormat="1" applyFont="1" applyFill="1" applyBorder="1" applyAlignment="1">
      <alignment horizontal="right"/>
    </xf>
    <xf numFmtId="3" fontId="7" fillId="0" borderId="10" xfId="0" applyNumberFormat="1" applyFont="1" applyBorder="1" applyAlignment="1"/>
    <xf numFmtId="179" fontId="0" fillId="0" borderId="0" xfId="5" applyNumberFormat="1" applyFont="1" applyAlignment="1">
      <alignment horizontal="right"/>
    </xf>
    <xf numFmtId="176" fontId="16" fillId="8" borderId="10" xfId="4" applyNumberFormat="1" applyFont="1" applyFill="1" applyBorder="1" applyAlignment="1">
      <alignment horizontal="right"/>
    </xf>
    <xf numFmtId="176" fontId="13" fillId="8" borderId="10" xfId="4" applyNumberFormat="1" applyFont="1" applyFill="1" applyBorder="1"/>
    <xf numFmtId="176" fontId="13" fillId="8" borderId="10" xfId="4" applyNumberFormat="1" applyFont="1" applyFill="1" applyBorder="1" applyAlignment="1">
      <alignment horizontal="right"/>
    </xf>
    <xf numFmtId="179" fontId="13" fillId="8" borderId="10" xfId="5" applyNumberFormat="1" applyFont="1" applyFill="1" applyBorder="1" applyAlignment="1">
      <alignment horizontal="right"/>
    </xf>
    <xf numFmtId="176" fontId="16" fillId="7" borderId="10" xfId="4" applyNumberFormat="1" applyFont="1" applyFill="1" applyBorder="1" applyAlignment="1">
      <alignment horizontal="right"/>
    </xf>
    <xf numFmtId="176" fontId="13" fillId="7" borderId="10" xfId="4" applyNumberFormat="1" applyFont="1" applyFill="1" applyBorder="1"/>
    <xf numFmtId="176" fontId="13" fillId="7" borderId="10" xfId="4" applyNumberFormat="1" applyFont="1" applyFill="1" applyBorder="1" applyAlignment="1">
      <alignment horizontal="right"/>
    </xf>
    <xf numFmtId="179" fontId="13" fillId="7" borderId="10" xfId="5" applyNumberFormat="1" applyFont="1" applyFill="1" applyBorder="1" applyAlignment="1">
      <alignment horizontal="right"/>
    </xf>
    <xf numFmtId="179" fontId="7" fillId="0" borderId="10" xfId="5" applyNumberFormat="1" applyFont="1" applyFill="1" applyBorder="1" applyAlignment="1">
      <alignment horizontal="right"/>
    </xf>
    <xf numFmtId="176" fontId="60" fillId="0" borderId="10" xfId="4" applyNumberFormat="1" applyFont="1" applyBorder="1" applyAlignment="1">
      <alignment horizontal="right"/>
    </xf>
    <xf numFmtId="176" fontId="67" fillId="0" borderId="10" xfId="4" applyNumberFormat="1" applyFont="1" applyBorder="1"/>
    <xf numFmtId="0" fontId="7" fillId="0" borderId="10" xfId="4" applyBorder="1"/>
    <xf numFmtId="176" fontId="25" fillId="0" borderId="10" xfId="4" applyNumberFormat="1" applyFont="1" applyBorder="1" applyAlignment="1">
      <alignment horizontal="center"/>
    </xf>
    <xf numFmtId="10" fontId="68" fillId="0" borderId="9" xfId="0" applyNumberFormat="1" applyFont="1" applyBorder="1" applyAlignment="1">
      <alignment horizontal="center"/>
    </xf>
    <xf numFmtId="10" fontId="68" fillId="0" borderId="6" xfId="3" applyNumberFormat="1" applyFont="1" applyBorder="1" applyAlignment="1">
      <alignment horizontal="center"/>
    </xf>
    <xf numFmtId="41" fontId="7" fillId="0" borderId="9" xfId="2" applyNumberFormat="1" applyFont="1" applyBorder="1" applyAlignment="1"/>
    <xf numFmtId="41" fontId="13" fillId="0" borderId="14" xfId="2" applyNumberFormat="1" applyFont="1" applyBorder="1" applyAlignment="1"/>
    <xf numFmtId="0" fontId="64" fillId="0" borderId="10" xfId="0" quotePrefix="1" applyFont="1" applyBorder="1" applyAlignment="1">
      <alignment horizontal="center"/>
    </xf>
    <xf numFmtId="0" fontId="64" fillId="0" borderId="10" xfId="0" applyFont="1" applyBorder="1" applyAlignment="1">
      <alignment horizontal="center"/>
    </xf>
    <xf numFmtId="0" fontId="60" fillId="0" borderId="10" xfId="0" applyFont="1" applyBorder="1" applyAlignment="1">
      <alignment horizontal="center"/>
    </xf>
    <xf numFmtId="0" fontId="69" fillId="0" borderId="10" xfId="0" applyFont="1" applyBorder="1" applyAlignment="1">
      <alignment horizontal="center"/>
    </xf>
    <xf numFmtId="176" fontId="34" fillId="0" borderId="10" xfId="4" applyNumberFormat="1" applyFont="1" applyBorder="1" applyAlignment="1">
      <alignment horizontal="right"/>
    </xf>
    <xf numFmtId="176" fontId="69" fillId="0" borderId="10" xfId="4" quotePrefix="1" applyNumberFormat="1" applyFont="1" applyBorder="1" applyAlignment="1">
      <alignment horizontal="right"/>
    </xf>
    <xf numFmtId="176" fontId="34" fillId="0" borderId="9" xfId="4" applyNumberFormat="1" applyFont="1" applyBorder="1" applyAlignment="1">
      <alignment horizontal="right"/>
    </xf>
    <xf numFmtId="176" fontId="42" fillId="0" borderId="10" xfId="4" applyNumberFormat="1" applyFont="1" applyBorder="1" applyAlignment="1">
      <alignment horizontal="right"/>
    </xf>
    <xf numFmtId="0" fontId="34" fillId="0" borderId="10" xfId="4" applyFont="1" applyBorder="1" applyAlignment="1">
      <alignment horizontal="right"/>
    </xf>
    <xf numFmtId="176" fontId="69" fillId="0" borderId="10" xfId="4" applyNumberFormat="1" applyFont="1" applyBorder="1" applyAlignment="1">
      <alignment horizontal="right"/>
    </xf>
    <xf numFmtId="176" fontId="72" fillId="7" borderId="10" xfId="4" applyNumberFormat="1" applyFont="1" applyFill="1" applyBorder="1" applyAlignment="1">
      <alignment horizontal="right"/>
    </xf>
    <xf numFmtId="176" fontId="64" fillId="0" borderId="10" xfId="0" applyNumberFormat="1" applyFont="1" applyBorder="1" applyAlignment="1">
      <alignment horizontal="center" vertical="center"/>
    </xf>
    <xf numFmtId="176" fontId="64" fillId="0" borderId="10" xfId="0" quotePrefix="1" applyNumberFormat="1" applyFont="1" applyBorder="1" applyAlignment="1">
      <alignment horizontal="center" vertical="center"/>
    </xf>
    <xf numFmtId="0" fontId="69" fillId="0" borderId="10" xfId="0" quotePrefix="1" applyFont="1" applyBorder="1" applyAlignment="1">
      <alignment horizontal="center"/>
    </xf>
    <xf numFmtId="178" fontId="64" fillId="0" borderId="11" xfId="2" applyNumberFormat="1" applyFont="1" applyBorder="1" applyAlignment="1"/>
    <xf numFmtId="176" fontId="64" fillId="0" borderId="0" xfId="0" applyNumberFormat="1" applyFont="1" applyAlignment="1"/>
    <xf numFmtId="178" fontId="64" fillId="4" borderId="11" xfId="2" applyNumberFormat="1" applyFont="1" applyFill="1" applyBorder="1" applyAlignment="1"/>
    <xf numFmtId="176" fontId="64" fillId="4" borderId="0" xfId="0" applyNumberFormat="1" applyFont="1" applyFill="1" applyAlignment="1"/>
    <xf numFmtId="176" fontId="8" fillId="4" borderId="0" xfId="0" applyNumberFormat="1" applyFont="1" applyFill="1" applyAlignment="1"/>
    <xf numFmtId="0" fontId="46" fillId="4" borderId="0" xfId="0" applyFont="1" applyFill="1" applyAlignment="1">
      <alignment horizontal="left"/>
    </xf>
    <xf numFmtId="178" fontId="64" fillId="3" borderId="0" xfId="2" applyNumberFormat="1" applyFont="1" applyFill="1" applyBorder="1" applyAlignment="1"/>
    <xf numFmtId="178" fontId="34" fillId="0" borderId="11" xfId="2" applyNumberFormat="1" applyFont="1" applyBorder="1" applyAlignment="1"/>
    <xf numFmtId="0" fontId="46" fillId="0" borderId="0" xfId="0" applyFont="1" applyAlignment="1">
      <alignment horizontal="left"/>
    </xf>
    <xf numFmtId="178" fontId="64" fillId="3" borderId="11" xfId="2" applyNumberFormat="1" applyFont="1" applyFill="1" applyBorder="1" applyAlignment="1"/>
    <xf numFmtId="176" fontId="8" fillId="3" borderId="0" xfId="0" applyNumberFormat="1" applyFont="1" applyFill="1" applyAlignment="1"/>
    <xf numFmtId="0" fontId="46" fillId="3" borderId="0" xfId="0" applyFont="1" applyFill="1" applyAlignment="1">
      <alignment horizontal="left"/>
    </xf>
    <xf numFmtId="176" fontId="8" fillId="3" borderId="0" xfId="0" applyNumberFormat="1" applyFont="1" applyFill="1" applyAlignment="1">
      <alignment horizontal="center"/>
    </xf>
    <xf numFmtId="0" fontId="46" fillId="3" borderId="0" xfId="0" quotePrefix="1" applyFont="1" applyFill="1" applyAlignment="1">
      <alignment horizontal="left"/>
    </xf>
    <xf numFmtId="178" fontId="13" fillId="0" borderId="5" xfId="2" applyNumberFormat="1" applyFont="1" applyFill="1" applyBorder="1" applyAlignment="1"/>
    <xf numFmtId="0" fontId="64" fillId="0" borderId="0" xfId="0" applyFont="1" applyAlignment="1"/>
    <xf numFmtId="0" fontId="69" fillId="0" borderId="10" xfId="0" applyFont="1" applyBorder="1" applyAlignment="1">
      <alignment horizontal="right"/>
    </xf>
    <xf numFmtId="0" fontId="76" fillId="0" borderId="10" xfId="0" applyFont="1" applyBorder="1" applyAlignment="1">
      <alignment horizontal="right"/>
    </xf>
    <xf numFmtId="0" fontId="69" fillId="2" borderId="10" xfId="0" applyFont="1" applyFill="1" applyBorder="1" applyAlignment="1">
      <alignment horizontal="center"/>
    </xf>
    <xf numFmtId="176" fontId="0" fillId="0" borderId="0" xfId="0" applyNumberFormat="1" applyAlignment="1">
      <alignment horizontal="center"/>
    </xf>
    <xf numFmtId="3" fontId="0" fillId="0" borderId="0" xfId="0" applyNumberFormat="1" applyAlignment="1"/>
    <xf numFmtId="3" fontId="0" fillId="0" borderId="0" xfId="0" applyNumberFormat="1">
      <alignment vertical="center"/>
    </xf>
    <xf numFmtId="176" fontId="43" fillId="2" borderId="0" xfId="0" applyNumberFormat="1" applyFont="1" applyFill="1" applyAlignment="1"/>
    <xf numFmtId="181" fontId="7" fillId="0" borderId="10" xfId="3" applyNumberFormat="1" applyFont="1" applyBorder="1" applyAlignment="1"/>
    <xf numFmtId="176" fontId="53" fillId="0" borderId="3" xfId="4" applyNumberFormat="1" applyFont="1" applyBorder="1"/>
    <xf numFmtId="176" fontId="13" fillId="2" borderId="0" xfId="0" applyNumberFormat="1" applyFont="1" applyFill="1" applyAlignment="1"/>
    <xf numFmtId="176" fontId="53" fillId="0" borderId="10" xfId="4" applyNumberFormat="1" applyFont="1" applyBorder="1" applyAlignment="1">
      <alignment horizontal="right" vertical="center"/>
    </xf>
    <xf numFmtId="3" fontId="13" fillId="0" borderId="10" xfId="4" applyNumberFormat="1" applyFont="1" applyBorder="1"/>
    <xf numFmtId="176" fontId="0" fillId="0" borderId="10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quotePrefix="1" applyFont="1" applyAlignment="1">
      <alignment horizontal="centerContinuous"/>
    </xf>
    <xf numFmtId="0" fontId="13" fillId="0" borderId="6" xfId="0" applyFont="1" applyBorder="1" applyAlignment="1">
      <alignment horizontal="center"/>
    </xf>
    <xf numFmtId="176" fontId="13" fillId="2" borderId="9" xfId="0" applyNumberFormat="1" applyFont="1" applyFill="1" applyBorder="1" applyAlignment="1">
      <alignment horizontal="center"/>
    </xf>
    <xf numFmtId="176" fontId="13" fillId="0" borderId="10" xfId="0" applyNumberFormat="1" applyFont="1" applyBorder="1" applyAlignment="1">
      <alignment horizontal="center"/>
    </xf>
    <xf numFmtId="176" fontId="13" fillId="2" borderId="10" xfId="0" applyNumberFormat="1" applyFont="1" applyFill="1" applyBorder="1" applyAlignment="1">
      <alignment horizontal="center"/>
    </xf>
    <xf numFmtId="10" fontId="14" fillId="0" borderId="9" xfId="0" applyNumberFormat="1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10" fontId="14" fillId="2" borderId="5" xfId="0" applyNumberFormat="1" applyFont="1" applyFill="1" applyBorder="1" applyAlignment="1">
      <alignment horizontal="center"/>
    </xf>
    <xf numFmtId="43" fontId="78" fillId="0" borderId="9" xfId="0" applyNumberFormat="1" applyFont="1" applyBorder="1" applyAlignment="1">
      <alignment horizontal="center"/>
    </xf>
    <xf numFmtId="176" fontId="79" fillId="0" borderId="10" xfId="4" applyNumberFormat="1" applyFont="1" applyBorder="1"/>
    <xf numFmtId="176" fontId="80" fillId="0" borderId="10" xfId="0" applyNumberFormat="1" applyFont="1" applyBorder="1" applyAlignment="1"/>
    <xf numFmtId="176" fontId="81" fillId="0" borderId="10" xfId="0" applyNumberFormat="1" applyFont="1" applyBorder="1" applyAlignment="1"/>
    <xf numFmtId="43" fontId="8" fillId="0" borderId="8" xfId="0" applyNumberFormat="1" applyFont="1" applyBorder="1" applyAlignment="1">
      <alignment horizontal="center"/>
    </xf>
    <xf numFmtId="181" fontId="7" fillId="2" borderId="9" xfId="3" applyNumberFormat="1" applyFont="1" applyFill="1" applyBorder="1" applyAlignment="1">
      <alignment horizontal="center"/>
    </xf>
    <xf numFmtId="181" fontId="7" fillId="0" borderId="9" xfId="3" applyNumberFormat="1" applyFont="1" applyFill="1" applyBorder="1" applyAlignment="1">
      <alignment horizontal="center"/>
    </xf>
    <xf numFmtId="181" fontId="23" fillId="2" borderId="9" xfId="3" applyNumberFormat="1" applyFont="1" applyFill="1" applyBorder="1" applyAlignment="1"/>
    <xf numFmtId="181" fontId="23" fillId="2" borderId="5" xfId="3" applyNumberFormat="1" applyFont="1" applyFill="1" applyBorder="1" applyAlignment="1"/>
    <xf numFmtId="181" fontId="7" fillId="2" borderId="5" xfId="3" applyNumberFormat="1" applyFont="1" applyFill="1" applyBorder="1" applyAlignment="1"/>
    <xf numFmtId="181" fontId="7" fillId="2" borderId="9" xfId="3" applyNumberFormat="1" applyFont="1" applyFill="1" applyBorder="1" applyAlignment="1"/>
    <xf numFmtId="181" fontId="7" fillId="0" borderId="5" xfId="2" applyNumberFormat="1" applyFont="1" applyBorder="1" applyAlignment="1"/>
    <xf numFmtId="176" fontId="0" fillId="0" borderId="8" xfId="0" applyNumberFormat="1" applyBorder="1" applyAlignment="1"/>
    <xf numFmtId="3" fontId="82" fillId="9" borderId="10" xfId="0" applyNumberFormat="1" applyFont="1" applyFill="1" applyBorder="1" applyAlignment="1">
      <alignment horizontal="right" vertical="center" wrapText="1"/>
    </xf>
    <xf numFmtId="43" fontId="0" fillId="0" borderId="10" xfId="0" applyNumberFormat="1" applyBorder="1" applyAlignment="1"/>
    <xf numFmtId="10" fontId="0" fillId="0" borderId="10" xfId="3" applyNumberFormat="1" applyFont="1" applyFill="1" applyBorder="1" applyAlignment="1"/>
    <xf numFmtId="43" fontId="13" fillId="0" borderId="6" xfId="0" applyNumberFormat="1" applyFont="1" applyBorder="1" applyAlignment="1"/>
    <xf numFmtId="2" fontId="9" fillId="0" borderId="6" xfId="0" applyNumberFormat="1" applyFont="1" applyBorder="1" applyAlignment="1">
      <alignment horizontal="center"/>
    </xf>
    <xf numFmtId="10" fontId="9" fillId="0" borderId="6" xfId="3" applyNumberFormat="1" applyFont="1" applyFill="1" applyBorder="1" applyAlignment="1"/>
    <xf numFmtId="0" fontId="8" fillId="0" borderId="7" xfId="0" applyFont="1" applyBorder="1" applyAlignment="1">
      <alignment horizontal="center"/>
    </xf>
    <xf numFmtId="0" fontId="16" fillId="0" borderId="15" xfId="0" quotePrefix="1" applyFont="1" applyBorder="1" applyAlignment="1">
      <alignment horizontal="center"/>
    </xf>
    <xf numFmtId="0" fontId="8" fillId="0" borderId="7" xfId="0" quotePrefix="1" applyFont="1" applyBorder="1" applyAlignment="1">
      <alignment horizontal="center"/>
    </xf>
    <xf numFmtId="0" fontId="8" fillId="0" borderId="15" xfId="0" quotePrefix="1" applyFont="1" applyBorder="1" applyAlignment="1">
      <alignment horizontal="center"/>
    </xf>
    <xf numFmtId="10" fontId="18" fillId="0" borderId="15" xfId="0" applyNumberFormat="1" applyFont="1" applyBorder="1" applyAlignment="1">
      <alignment horizontal="center"/>
    </xf>
    <xf numFmtId="0" fontId="83" fillId="0" borderId="0" xfId="0" applyFont="1" applyAlignment="1"/>
    <xf numFmtId="0" fontId="84" fillId="2" borderId="2" xfId="0" applyFont="1" applyFill="1" applyBorder="1" applyAlignment="1"/>
    <xf numFmtId="0" fontId="84" fillId="0" borderId="4" xfId="0" quotePrefix="1" applyFont="1" applyBorder="1" applyAlignment="1">
      <alignment horizontal="center"/>
    </xf>
    <xf numFmtId="0" fontId="84" fillId="0" borderId="9" xfId="0" quotePrefix="1" applyFont="1" applyBorder="1" applyAlignment="1">
      <alignment horizontal="center"/>
    </xf>
    <xf numFmtId="0" fontId="83" fillId="2" borderId="11" xfId="0" applyFont="1" applyFill="1" applyBorder="1" applyAlignment="1"/>
    <xf numFmtId="176" fontId="83" fillId="2" borderId="9" xfId="0" applyNumberFormat="1" applyFont="1" applyFill="1" applyBorder="1" applyAlignment="1"/>
    <xf numFmtId="176" fontId="83" fillId="0" borderId="9" xfId="0" applyNumberFormat="1" applyFont="1" applyBorder="1" applyAlignment="1"/>
    <xf numFmtId="176" fontId="83" fillId="0" borderId="10" xfId="0" applyNumberFormat="1" applyFont="1" applyBorder="1" applyAlignment="1"/>
    <xf numFmtId="176" fontId="83" fillId="2" borderId="10" xfId="0" applyNumberFormat="1" applyFont="1" applyFill="1" applyBorder="1" applyAlignment="1"/>
    <xf numFmtId="176" fontId="83" fillId="2" borderId="0" xfId="0" applyNumberFormat="1" applyFont="1" applyFill="1" applyAlignment="1"/>
    <xf numFmtId="0" fontId="84" fillId="0" borderId="0" xfId="0" applyFont="1" applyAlignment="1"/>
    <xf numFmtId="0" fontId="85" fillId="0" borderId="0" xfId="0" applyFont="1" applyAlignment="1">
      <alignment horizontal="centerContinuous"/>
    </xf>
    <xf numFmtId="176" fontId="86" fillId="10" borderId="5" xfId="0" applyNumberFormat="1" applyFont="1" applyFill="1" applyBorder="1" applyAlignment="1"/>
    <xf numFmtId="43" fontId="8" fillId="0" borderId="9" xfId="0" applyNumberFormat="1" applyFont="1" applyBorder="1" applyAlignment="1">
      <alignment horizontal="center"/>
    </xf>
    <xf numFmtId="43" fontId="0" fillId="2" borderId="1" xfId="0" applyNumberFormat="1" applyFill="1" applyBorder="1" applyAlignment="1"/>
    <xf numFmtId="176" fontId="88" fillId="0" borderId="10" xfId="4" applyNumberFormat="1" applyFont="1" applyBorder="1"/>
    <xf numFmtId="3" fontId="89" fillId="0" borderId="0" xfId="0" applyNumberFormat="1" applyFont="1" applyAlignment="1"/>
    <xf numFmtId="176" fontId="73" fillId="0" borderId="3" xfId="0" applyNumberFormat="1" applyFont="1" applyBorder="1" applyAlignment="1">
      <alignment horizontal="center"/>
    </xf>
    <xf numFmtId="176" fontId="73" fillId="0" borderId="10" xfId="0" applyNumberFormat="1" applyFont="1" applyBorder="1" applyAlignment="1">
      <alignment horizontal="center"/>
    </xf>
    <xf numFmtId="181" fontId="23" fillId="0" borderId="9" xfId="3" applyNumberFormat="1" applyFont="1" applyFill="1" applyBorder="1" applyAlignment="1"/>
    <xf numFmtId="181" fontId="7" fillId="0" borderId="9" xfId="3" applyNumberFormat="1" applyFont="1" applyFill="1" applyBorder="1" applyAlignment="1"/>
    <xf numFmtId="178" fontId="64" fillId="4" borderId="0" xfId="2" applyNumberFormat="1" applyFont="1" applyFill="1" applyBorder="1" applyAlignment="1"/>
    <xf numFmtId="0" fontId="0" fillId="2" borderId="1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8" fillId="0" borderId="8" xfId="0" quotePrefix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9" fillId="0" borderId="1" xfId="4" applyNumberFormat="1" applyFont="1" applyBorder="1" applyAlignment="1">
      <alignment horizontal="center"/>
    </xf>
    <xf numFmtId="176" fontId="9" fillId="0" borderId="3" xfId="4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8" fillId="2" borderId="8" xfId="0" quotePrefix="1" applyFont="1" applyFill="1" applyBorder="1" applyAlignment="1">
      <alignment horizontal="center" vertical="center"/>
    </xf>
    <xf numFmtId="176" fontId="0" fillId="0" borderId="6" xfId="0" applyNumberFormat="1" applyFill="1" applyBorder="1" applyAlignment="1"/>
    <xf numFmtId="10" fontId="0" fillId="0" borderId="6" xfId="3" applyNumberFormat="1" applyFont="1" applyFill="1" applyBorder="1" applyAlignment="1"/>
    <xf numFmtId="43" fontId="0" fillId="0" borderId="9" xfId="0" applyNumberFormat="1" applyFill="1" applyBorder="1" applyAlignment="1"/>
    <xf numFmtId="176" fontId="0" fillId="0" borderId="10" xfId="0" applyNumberFormat="1" applyFill="1" applyBorder="1" applyAlignment="1"/>
    <xf numFmtId="10" fontId="0" fillId="0" borderId="1" xfId="3" applyNumberFormat="1" applyFont="1" applyFill="1" applyBorder="1" applyAlignment="1"/>
    <xf numFmtId="43" fontId="0" fillId="0" borderId="10" xfId="0" applyNumberFormat="1" applyFill="1" applyBorder="1" applyAlignment="1"/>
  </cellXfs>
  <cellStyles count="6">
    <cellStyle name="一般" xfId="0" builtinId="0"/>
    <cellStyle name="一般 2" xfId="4" xr:uid="{00000000-0005-0000-0000-000001000000}"/>
    <cellStyle name="千分位" xfId="1" builtinId="3"/>
    <cellStyle name="千分位 3" xfId="5" xr:uid="{00000000-0005-0000-0000-000003000000}"/>
    <cellStyle name="百分比" xfId="3" builtinId="5"/>
    <cellStyle name="貨幣" xfId="2" builtinId="4"/>
  </cellStyles>
  <dxfs count="82"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FF0000"/>
      </font>
    </dxf>
    <dxf>
      <font>
        <color auto="1"/>
      </font>
    </dxf>
    <dxf>
      <font>
        <color rgb="FF9C0006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externalLink" Target="externalLinks/externalLink11.xml"/><Relationship Id="rId39" Type="http://schemas.openxmlformats.org/officeDocument/2006/relationships/theme" Target="theme/theme1.xml"/><Relationship Id="rId21" Type="http://schemas.openxmlformats.org/officeDocument/2006/relationships/externalLink" Target="externalLinks/externalLink6.xml"/><Relationship Id="rId34" Type="http://schemas.openxmlformats.org/officeDocument/2006/relationships/externalLink" Target="externalLinks/externalLink19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externalLink" Target="externalLinks/externalLink14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32" Type="http://schemas.openxmlformats.org/officeDocument/2006/relationships/externalLink" Target="externalLinks/externalLink17.xml"/><Relationship Id="rId37" Type="http://schemas.openxmlformats.org/officeDocument/2006/relationships/externalLink" Target="externalLinks/externalLink22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2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31" Type="http://schemas.openxmlformats.org/officeDocument/2006/relationships/externalLink" Target="externalLinks/externalLink16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15.xml"/><Relationship Id="rId35" Type="http://schemas.openxmlformats.org/officeDocument/2006/relationships/externalLink" Target="externalLinks/externalLink20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18.xml"/><Relationship Id="rId38" Type="http://schemas.openxmlformats.org/officeDocument/2006/relationships/externalLink" Target="externalLinks/externalLink2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4%20&#25972;&#36554;&#20986;&#2147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4%20&#25240;&#30090;&#36554;&#20986;&#2147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1-04%20&#25722;&#30090;&#36554;&#20986;&#2147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2%2001-04%20&#25240;&#30090;&#36554;%20&#20986;&#21475;&#27604;&#36611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4%20&#38651;&#36628;&#36554;&#20986;&#2147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1-04&#38651;&#36628;&#36554;&#20986;&#2147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2%2001-04%20&#38651;&#36628;&#36554;&#20986;&#21475;&#27604;&#36611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4%20&#38646;&#20214;&#20986;&#21475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1-04%20&#38646;&#20214;&#20986;&#21475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4%20&#38646;&#20214;&#36914;&#21475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1-04%20&#38646;&#20214;&#36914;&#214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1-04%20&#25972;&#36554;&#20986;&#21475;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302\&#38646;&#20214;02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18&#32113;&#35336;/BP1070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2%2001-04%20&#38646;&#20214;&#20986;&#21475;&#27604;&#36611;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2%2001-04%20&#38646;&#20214;&#36914;&#21475;&#27604;&#36611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&#26700;&#38754;\&#32113;&#35336;&#23384;&#27284;\ALL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ily\Desktop\&#32113;&#35336;&#23384;&#27284;\2020&#24180;5&#26376;&#27491;&#26412;&#32113;&#35336;(&#26377;&#20989;&#25976;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OneDrive\&#26700;&#38754;\&#32113;&#35336;&#23384;&#27284;\ALL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508;&#24180;&#32113;&#35336;/2023&#32113;&#35336;/2023&#32113;&#35336;&#33609;&#26412;/2023&#24180;04&#26376;&#33609;&#26412;&#32113;&#3533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2%2001-04%20&#25972;&#36554;&#20986;&#21475;&#27604;&#36611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%20Files\Downloads\&#36914;&#20986;&#21475;&#20540;&#34920;%20-%20202304%20&#25972;&#36554;&#36914;&#21475;.xlsx" TargetMode="External"/></Relationships>
</file>

<file path=xl/externalLinks/_rels/externalLink9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ATA%20Files\Downloads\&#36914;&#20986;&#21475;&#20540;&#34920;%20-%20202301-04%20&#25972;&#36554;&#36914;&#21475;.xlsx" TargetMode="External"/><Relationship Id="rId1" Type="http://schemas.openxmlformats.org/officeDocument/2006/relationships/externalLinkPath" Target="file:///D:\DATA%20Files\Downloads\&#36914;&#20986;&#21475;&#20540;&#34920;%20-%20202301-04%20&#25972;&#36554;&#36914;&#214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2023年04月
出口金額($US)</v>
          </cell>
          <cell r="C2" t="str">
            <v>2023年04月
出口數量</v>
          </cell>
        </row>
        <row r="3">
          <cell r="A3" t="str">
            <v>總計</v>
          </cell>
          <cell r="B3">
            <v>126190344</v>
          </cell>
          <cell r="C3">
            <v>133349</v>
          </cell>
        </row>
        <row r="4">
          <cell r="A4" t="str">
            <v>美國</v>
          </cell>
          <cell r="B4">
            <v>47398616</v>
          </cell>
          <cell r="C4">
            <v>46753</v>
          </cell>
        </row>
        <row r="5">
          <cell r="A5" t="str">
            <v>荷蘭</v>
          </cell>
          <cell r="B5">
            <v>16432918</v>
          </cell>
          <cell r="C5">
            <v>12514</v>
          </cell>
        </row>
        <row r="6">
          <cell r="A6" t="str">
            <v>中國大陸</v>
          </cell>
          <cell r="B6">
            <v>11373750</v>
          </cell>
          <cell r="C6">
            <v>14285</v>
          </cell>
        </row>
        <row r="7">
          <cell r="A7" t="str">
            <v>英國</v>
          </cell>
          <cell r="B7">
            <v>6900361</v>
          </cell>
          <cell r="C7">
            <v>8297</v>
          </cell>
        </row>
        <row r="8">
          <cell r="A8" t="str">
            <v>德國</v>
          </cell>
          <cell r="B8">
            <v>5682457</v>
          </cell>
          <cell r="C8">
            <v>10273</v>
          </cell>
        </row>
        <row r="9">
          <cell r="A9" t="str">
            <v>加拿大</v>
          </cell>
          <cell r="B9">
            <v>5485739</v>
          </cell>
          <cell r="C9">
            <v>4554</v>
          </cell>
        </row>
        <row r="10">
          <cell r="A10" t="str">
            <v>澳大利亞</v>
          </cell>
          <cell r="B10">
            <v>3841787</v>
          </cell>
          <cell r="C10">
            <v>2548</v>
          </cell>
        </row>
        <row r="11">
          <cell r="A11" t="str">
            <v>法國</v>
          </cell>
          <cell r="B11">
            <v>3784494</v>
          </cell>
          <cell r="C11">
            <v>3636</v>
          </cell>
        </row>
        <row r="12">
          <cell r="A12" t="str">
            <v>南韓</v>
          </cell>
          <cell r="B12">
            <v>2927104</v>
          </cell>
          <cell r="C12">
            <v>1954</v>
          </cell>
        </row>
        <row r="13">
          <cell r="A13" t="str">
            <v>日本</v>
          </cell>
          <cell r="B13">
            <v>2671749</v>
          </cell>
          <cell r="C13">
            <v>3528</v>
          </cell>
        </row>
        <row r="14">
          <cell r="A14" t="str">
            <v>比利時</v>
          </cell>
          <cell r="B14">
            <v>2475887</v>
          </cell>
          <cell r="C14">
            <v>2256</v>
          </cell>
        </row>
        <row r="15">
          <cell r="A15" t="str">
            <v>義大利</v>
          </cell>
          <cell r="B15">
            <v>1864816</v>
          </cell>
          <cell r="C15">
            <v>1425</v>
          </cell>
        </row>
        <row r="16">
          <cell r="A16" t="str">
            <v>哥倫比亞</v>
          </cell>
          <cell r="B16">
            <v>1467512</v>
          </cell>
          <cell r="C16">
            <v>975</v>
          </cell>
        </row>
        <row r="17">
          <cell r="A17" t="str">
            <v>瑞典</v>
          </cell>
          <cell r="B17">
            <v>1399507</v>
          </cell>
          <cell r="C17">
            <v>6059</v>
          </cell>
        </row>
        <row r="18">
          <cell r="A18" t="str">
            <v>瑞士</v>
          </cell>
          <cell r="B18">
            <v>1393002</v>
          </cell>
          <cell r="C18">
            <v>1133</v>
          </cell>
        </row>
        <row r="19">
          <cell r="A19" t="str">
            <v>墨西哥</v>
          </cell>
          <cell r="B19">
            <v>1296093</v>
          </cell>
          <cell r="C19">
            <v>1005</v>
          </cell>
        </row>
        <row r="20">
          <cell r="A20" t="str">
            <v>挪威</v>
          </cell>
          <cell r="B20">
            <v>1017280</v>
          </cell>
          <cell r="C20">
            <v>2115</v>
          </cell>
        </row>
        <row r="21">
          <cell r="A21" t="str">
            <v>南非</v>
          </cell>
          <cell r="B21">
            <v>914093</v>
          </cell>
          <cell r="C21">
            <v>382</v>
          </cell>
        </row>
        <row r="22">
          <cell r="A22" t="str">
            <v>紐西蘭</v>
          </cell>
          <cell r="B22">
            <v>854533</v>
          </cell>
          <cell r="C22">
            <v>548</v>
          </cell>
        </row>
        <row r="23">
          <cell r="A23" t="str">
            <v>西班牙</v>
          </cell>
          <cell r="B23">
            <v>675723</v>
          </cell>
          <cell r="C23">
            <v>476</v>
          </cell>
        </row>
        <row r="24">
          <cell r="A24" t="str">
            <v>巴西</v>
          </cell>
          <cell r="B24">
            <v>596947</v>
          </cell>
          <cell r="C24">
            <v>423</v>
          </cell>
        </row>
        <row r="25">
          <cell r="A25" t="str">
            <v>丹麥</v>
          </cell>
          <cell r="B25">
            <v>505782</v>
          </cell>
          <cell r="C25">
            <v>1334</v>
          </cell>
        </row>
        <row r="26">
          <cell r="A26" t="str">
            <v>新加坡</v>
          </cell>
          <cell r="B26">
            <v>439125</v>
          </cell>
          <cell r="C26">
            <v>343</v>
          </cell>
        </row>
        <row r="27">
          <cell r="A27" t="str">
            <v>阿根廷</v>
          </cell>
          <cell r="B27">
            <v>412220</v>
          </cell>
          <cell r="C27">
            <v>277</v>
          </cell>
        </row>
        <row r="28">
          <cell r="A28" t="str">
            <v>捷克</v>
          </cell>
          <cell r="B28">
            <v>356276</v>
          </cell>
          <cell r="C28">
            <v>946</v>
          </cell>
        </row>
        <row r="29">
          <cell r="A29" t="str">
            <v>波蘭</v>
          </cell>
          <cell r="B29">
            <v>332097</v>
          </cell>
          <cell r="C29">
            <v>462</v>
          </cell>
        </row>
        <row r="30">
          <cell r="A30" t="str">
            <v>阿拉伯聯合大公國</v>
          </cell>
          <cell r="B30">
            <v>329696</v>
          </cell>
          <cell r="C30">
            <v>340</v>
          </cell>
        </row>
        <row r="31">
          <cell r="A31" t="str">
            <v>香港</v>
          </cell>
          <cell r="B31">
            <v>317906</v>
          </cell>
          <cell r="C31">
            <v>572</v>
          </cell>
        </row>
        <row r="32">
          <cell r="A32" t="str">
            <v>斯洛維尼亞</v>
          </cell>
          <cell r="B32">
            <v>298554</v>
          </cell>
          <cell r="C32">
            <v>355</v>
          </cell>
        </row>
        <row r="33">
          <cell r="A33" t="str">
            <v>芬蘭</v>
          </cell>
          <cell r="B33">
            <v>257688</v>
          </cell>
          <cell r="C33">
            <v>515</v>
          </cell>
        </row>
        <row r="34">
          <cell r="A34" t="str">
            <v>秘魯</v>
          </cell>
          <cell r="B34">
            <v>236137</v>
          </cell>
          <cell r="C34">
            <v>152</v>
          </cell>
        </row>
        <row r="35">
          <cell r="A35" t="str">
            <v>多明尼加</v>
          </cell>
          <cell r="B35">
            <v>180289</v>
          </cell>
          <cell r="C35">
            <v>108</v>
          </cell>
        </row>
        <row r="36">
          <cell r="A36" t="str">
            <v>馬來西亞</v>
          </cell>
          <cell r="B36">
            <v>176118</v>
          </cell>
          <cell r="C36">
            <v>122</v>
          </cell>
        </row>
        <row r="37">
          <cell r="A37" t="str">
            <v>希臘</v>
          </cell>
          <cell r="B37">
            <v>174244</v>
          </cell>
          <cell r="C37">
            <v>814</v>
          </cell>
        </row>
        <row r="38">
          <cell r="A38" t="str">
            <v>泰國</v>
          </cell>
          <cell r="B38">
            <v>168660</v>
          </cell>
          <cell r="C38">
            <v>138</v>
          </cell>
        </row>
        <row r="39">
          <cell r="A39" t="str">
            <v>智利</v>
          </cell>
          <cell r="B39">
            <v>167346</v>
          </cell>
          <cell r="C39">
            <v>91</v>
          </cell>
        </row>
        <row r="40">
          <cell r="A40" t="str">
            <v>以色列</v>
          </cell>
          <cell r="B40">
            <v>148817</v>
          </cell>
          <cell r="C40">
            <v>121</v>
          </cell>
        </row>
        <row r="41">
          <cell r="A41" t="str">
            <v>厄瓜多</v>
          </cell>
          <cell r="B41">
            <v>137024</v>
          </cell>
          <cell r="C41">
            <v>98</v>
          </cell>
        </row>
        <row r="42">
          <cell r="A42" t="str">
            <v>哥斯大黎加</v>
          </cell>
          <cell r="B42">
            <v>136925</v>
          </cell>
          <cell r="C42">
            <v>106</v>
          </cell>
        </row>
        <row r="43">
          <cell r="A43" t="str">
            <v>愛沙尼亞</v>
          </cell>
          <cell r="B43">
            <v>118495</v>
          </cell>
          <cell r="C43">
            <v>233</v>
          </cell>
        </row>
        <row r="44">
          <cell r="A44" t="str">
            <v>匈牙利</v>
          </cell>
          <cell r="B44">
            <v>116098</v>
          </cell>
          <cell r="C44">
            <v>230</v>
          </cell>
        </row>
        <row r="45">
          <cell r="A45" t="str">
            <v>印度</v>
          </cell>
          <cell r="B45">
            <v>111104</v>
          </cell>
          <cell r="C45">
            <v>79</v>
          </cell>
        </row>
        <row r="46">
          <cell r="A46" t="str">
            <v>菲律賓</v>
          </cell>
          <cell r="B46">
            <v>110809</v>
          </cell>
          <cell r="C46">
            <v>285</v>
          </cell>
        </row>
        <row r="47">
          <cell r="A47" t="str">
            <v>哈薩克</v>
          </cell>
          <cell r="B47">
            <v>109231</v>
          </cell>
          <cell r="C47">
            <v>214</v>
          </cell>
        </row>
        <row r="48">
          <cell r="A48" t="str">
            <v>烏拉圭</v>
          </cell>
          <cell r="B48">
            <v>92477</v>
          </cell>
          <cell r="C48">
            <v>67</v>
          </cell>
        </row>
        <row r="49">
          <cell r="A49" t="str">
            <v>薩爾瓦多</v>
          </cell>
          <cell r="B49">
            <v>77957</v>
          </cell>
          <cell r="C49">
            <v>82</v>
          </cell>
        </row>
        <row r="50">
          <cell r="A50" t="str">
            <v>越南</v>
          </cell>
          <cell r="B50">
            <v>70269</v>
          </cell>
          <cell r="C50">
            <v>34</v>
          </cell>
        </row>
        <row r="51">
          <cell r="A51" t="str">
            <v>奧地利</v>
          </cell>
          <cell r="B51">
            <v>59625</v>
          </cell>
          <cell r="C51">
            <v>33</v>
          </cell>
        </row>
        <row r="52">
          <cell r="A52" t="str">
            <v>印尼</v>
          </cell>
          <cell r="B52">
            <v>38568</v>
          </cell>
          <cell r="C52">
            <v>7</v>
          </cell>
        </row>
        <row r="53">
          <cell r="A53" t="str">
            <v>沙烏地阿拉伯</v>
          </cell>
          <cell r="B53">
            <v>21288</v>
          </cell>
          <cell r="C53">
            <v>17</v>
          </cell>
        </row>
        <row r="54">
          <cell r="A54" t="str">
            <v>關島</v>
          </cell>
          <cell r="B54">
            <v>19908</v>
          </cell>
          <cell r="C54">
            <v>7</v>
          </cell>
        </row>
        <row r="55">
          <cell r="A55" t="str">
            <v>冰島</v>
          </cell>
          <cell r="B55">
            <v>15210</v>
          </cell>
          <cell r="C55">
            <v>13</v>
          </cell>
        </row>
        <row r="56">
          <cell r="A56" t="str">
            <v>貝南</v>
          </cell>
          <cell r="B56">
            <v>33</v>
          </cell>
          <cell r="C56">
            <v>15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2023年04月
出口金額($US)</v>
          </cell>
          <cell r="C2" t="str">
            <v>2023年04月
出口數量</v>
          </cell>
        </row>
        <row r="3">
          <cell r="A3" t="str">
            <v>總計</v>
          </cell>
          <cell r="B3">
            <v>387680</v>
          </cell>
          <cell r="C3">
            <v>413</v>
          </cell>
        </row>
        <row r="4">
          <cell r="A4" t="str">
            <v>中國大陸</v>
          </cell>
          <cell r="B4">
            <v>352365</v>
          </cell>
          <cell r="C4">
            <v>359</v>
          </cell>
        </row>
        <row r="5">
          <cell r="A5" t="str">
            <v>香港</v>
          </cell>
          <cell r="B5">
            <v>21255</v>
          </cell>
          <cell r="C5">
            <v>23</v>
          </cell>
        </row>
        <row r="6">
          <cell r="A6" t="str">
            <v>荷蘭</v>
          </cell>
          <cell r="B6">
            <v>13469</v>
          </cell>
          <cell r="C6">
            <v>30</v>
          </cell>
        </row>
        <row r="7">
          <cell r="A7" t="str">
            <v>加拿大</v>
          </cell>
          <cell r="B7">
            <v>591</v>
          </cell>
          <cell r="C7">
            <v>1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2023年01至04月
出口金額($US)</v>
          </cell>
          <cell r="C2" t="str">
            <v>2023年01至04月
出口數量</v>
          </cell>
        </row>
        <row r="3">
          <cell r="A3" t="str">
            <v>總計</v>
          </cell>
          <cell r="B3">
            <v>2323040</v>
          </cell>
          <cell r="C3">
            <v>3128</v>
          </cell>
        </row>
        <row r="4">
          <cell r="A4" t="str">
            <v>南韓</v>
          </cell>
          <cell r="B4">
            <v>789541</v>
          </cell>
          <cell r="C4">
            <v>1150</v>
          </cell>
        </row>
        <row r="5">
          <cell r="A5" t="str">
            <v>中國大陸</v>
          </cell>
          <cell r="B5">
            <v>597090</v>
          </cell>
          <cell r="C5">
            <v>578</v>
          </cell>
        </row>
        <row r="6">
          <cell r="A6" t="str">
            <v>日本</v>
          </cell>
          <cell r="B6">
            <v>552837</v>
          </cell>
          <cell r="C6">
            <v>725</v>
          </cell>
        </row>
        <row r="7">
          <cell r="A7" t="str">
            <v>俄羅斯</v>
          </cell>
          <cell r="B7">
            <v>176030</v>
          </cell>
          <cell r="C7">
            <v>420</v>
          </cell>
        </row>
        <row r="8">
          <cell r="A8" t="str">
            <v>香港</v>
          </cell>
          <cell r="B8">
            <v>137217</v>
          </cell>
          <cell r="C8">
            <v>136</v>
          </cell>
        </row>
        <row r="9">
          <cell r="A9" t="str">
            <v>西班牙</v>
          </cell>
          <cell r="B9">
            <v>40131</v>
          </cell>
          <cell r="C9">
            <v>48</v>
          </cell>
        </row>
        <row r="10">
          <cell r="A10" t="str">
            <v>澳大利亞</v>
          </cell>
          <cell r="B10">
            <v>14557</v>
          </cell>
          <cell r="C10">
            <v>31</v>
          </cell>
        </row>
        <row r="11">
          <cell r="A11" t="str">
            <v>荷蘭</v>
          </cell>
          <cell r="B11">
            <v>13469</v>
          </cell>
          <cell r="C11">
            <v>30</v>
          </cell>
        </row>
        <row r="12">
          <cell r="A12" t="str">
            <v>菲律賓</v>
          </cell>
          <cell r="B12">
            <v>1316</v>
          </cell>
          <cell r="C12">
            <v>4</v>
          </cell>
        </row>
        <row r="13">
          <cell r="A13" t="str">
            <v>加拿大</v>
          </cell>
          <cell r="B13">
            <v>591</v>
          </cell>
          <cell r="C13">
            <v>1</v>
          </cell>
        </row>
        <row r="14">
          <cell r="A14" t="str">
            <v>泰國</v>
          </cell>
          <cell r="B14">
            <v>261</v>
          </cell>
          <cell r="C14">
            <v>5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1">
          <cell r="A1" t="str">
            <v>中文名稱</v>
          </cell>
          <cell r="B1" t="str">
            <v>2022年01至04月
出口金額($US)</v>
          </cell>
          <cell r="C1" t="str">
            <v>2022年01至04月
出口數量</v>
          </cell>
        </row>
        <row r="2">
          <cell r="A2" t="str">
            <v>總計</v>
          </cell>
          <cell r="B2">
            <v>3578233</v>
          </cell>
          <cell r="C2">
            <v>5290</v>
          </cell>
        </row>
        <row r="3">
          <cell r="A3" t="str">
            <v>南韓</v>
          </cell>
          <cell r="B3">
            <v>1200576</v>
          </cell>
          <cell r="C3">
            <v>1346</v>
          </cell>
        </row>
        <row r="4">
          <cell r="A4" t="str">
            <v>中國大陸</v>
          </cell>
          <cell r="B4">
            <v>472424</v>
          </cell>
          <cell r="C4">
            <v>525</v>
          </cell>
        </row>
        <row r="5">
          <cell r="A5" t="str">
            <v>美國</v>
          </cell>
          <cell r="B5">
            <v>324466</v>
          </cell>
          <cell r="C5">
            <v>290</v>
          </cell>
        </row>
        <row r="6">
          <cell r="A6" t="str">
            <v>日本</v>
          </cell>
          <cell r="B6">
            <v>280951</v>
          </cell>
          <cell r="C6">
            <v>402</v>
          </cell>
        </row>
        <row r="7">
          <cell r="A7" t="str">
            <v>英國</v>
          </cell>
          <cell r="B7">
            <v>256408</v>
          </cell>
          <cell r="C7">
            <v>1100</v>
          </cell>
        </row>
        <row r="8">
          <cell r="A8" t="str">
            <v>香港</v>
          </cell>
          <cell r="B8">
            <v>240706</v>
          </cell>
          <cell r="C8">
            <v>234</v>
          </cell>
        </row>
        <row r="9">
          <cell r="A9" t="str">
            <v>奧地利</v>
          </cell>
          <cell r="B9">
            <v>234105</v>
          </cell>
          <cell r="C9">
            <v>305</v>
          </cell>
        </row>
        <row r="10">
          <cell r="A10" t="str">
            <v>新加坡</v>
          </cell>
          <cell r="B10">
            <v>167526</v>
          </cell>
          <cell r="C10">
            <v>290</v>
          </cell>
        </row>
        <row r="11">
          <cell r="A11" t="str">
            <v>俄羅斯</v>
          </cell>
          <cell r="B11">
            <v>139662</v>
          </cell>
          <cell r="C11">
            <v>440</v>
          </cell>
        </row>
        <row r="12">
          <cell r="A12" t="str">
            <v>馬來西亞</v>
          </cell>
          <cell r="B12">
            <v>99783</v>
          </cell>
          <cell r="C12">
            <v>78</v>
          </cell>
        </row>
        <row r="13">
          <cell r="A13" t="str">
            <v>荷蘭</v>
          </cell>
          <cell r="B13">
            <v>63929</v>
          </cell>
          <cell r="C13">
            <v>156</v>
          </cell>
        </row>
        <row r="14">
          <cell r="A14" t="str">
            <v>德國</v>
          </cell>
          <cell r="B14">
            <v>46530</v>
          </cell>
          <cell r="C14">
            <v>50</v>
          </cell>
        </row>
        <row r="15">
          <cell r="A15" t="str">
            <v>澳大利亞</v>
          </cell>
          <cell r="B15">
            <v>37591</v>
          </cell>
          <cell r="C15">
            <v>42</v>
          </cell>
        </row>
        <row r="16">
          <cell r="A16" t="str">
            <v>加拿大</v>
          </cell>
          <cell r="B16">
            <v>10164</v>
          </cell>
          <cell r="C16">
            <v>22</v>
          </cell>
        </row>
        <row r="17">
          <cell r="A17" t="str">
            <v>菲律賓</v>
          </cell>
          <cell r="B17">
            <v>3412</v>
          </cell>
          <cell r="C17">
            <v>10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2023年04月
出口金額($US)</v>
          </cell>
          <cell r="C2" t="str">
            <v>2023年04月
出口數量</v>
          </cell>
        </row>
        <row r="3">
          <cell r="A3" t="str">
            <v>總計</v>
          </cell>
          <cell r="B3">
            <v>135497637</v>
          </cell>
          <cell r="C3">
            <v>78722</v>
          </cell>
        </row>
        <row r="4">
          <cell r="A4" t="str">
            <v>荷蘭</v>
          </cell>
          <cell r="B4">
            <v>47743821</v>
          </cell>
          <cell r="C4">
            <v>29512</v>
          </cell>
        </row>
        <row r="5">
          <cell r="A5" t="str">
            <v>美國</v>
          </cell>
          <cell r="B5">
            <v>35667577</v>
          </cell>
          <cell r="C5">
            <v>17332</v>
          </cell>
        </row>
        <row r="6">
          <cell r="A6" t="str">
            <v>英國</v>
          </cell>
          <cell r="B6">
            <v>7343628</v>
          </cell>
          <cell r="C6">
            <v>5710</v>
          </cell>
        </row>
        <row r="7">
          <cell r="A7" t="str">
            <v>德國</v>
          </cell>
          <cell r="B7">
            <v>6029239</v>
          </cell>
          <cell r="C7">
            <v>6641</v>
          </cell>
        </row>
        <row r="8">
          <cell r="A8" t="str">
            <v>希臘</v>
          </cell>
          <cell r="B8">
            <v>5393890</v>
          </cell>
          <cell r="C8">
            <v>2156</v>
          </cell>
        </row>
        <row r="9">
          <cell r="A9" t="str">
            <v>法國</v>
          </cell>
          <cell r="B9">
            <v>4448981</v>
          </cell>
          <cell r="C9">
            <v>2975</v>
          </cell>
        </row>
        <row r="10">
          <cell r="A10" t="str">
            <v>加拿大</v>
          </cell>
          <cell r="B10">
            <v>3750001</v>
          </cell>
          <cell r="C10">
            <v>1620</v>
          </cell>
        </row>
        <row r="11">
          <cell r="A11" t="str">
            <v>澳大利亞</v>
          </cell>
          <cell r="B11">
            <v>3346681</v>
          </cell>
          <cell r="C11">
            <v>1575</v>
          </cell>
        </row>
        <row r="12">
          <cell r="A12" t="str">
            <v>紐西蘭</v>
          </cell>
          <cell r="B12">
            <v>3239948</v>
          </cell>
          <cell r="C12">
            <v>1231</v>
          </cell>
        </row>
        <row r="13">
          <cell r="A13" t="str">
            <v>丹麥</v>
          </cell>
          <cell r="B13">
            <v>2712714</v>
          </cell>
          <cell r="C13">
            <v>1745</v>
          </cell>
        </row>
        <row r="14">
          <cell r="A14" t="str">
            <v>義大利</v>
          </cell>
          <cell r="B14">
            <v>2382689</v>
          </cell>
          <cell r="C14">
            <v>1040</v>
          </cell>
        </row>
        <row r="15">
          <cell r="A15" t="str">
            <v>比利時</v>
          </cell>
          <cell r="B15">
            <v>2206503</v>
          </cell>
          <cell r="C15">
            <v>1299</v>
          </cell>
        </row>
        <row r="16">
          <cell r="A16" t="str">
            <v>西班牙</v>
          </cell>
          <cell r="B16">
            <v>2109034</v>
          </cell>
          <cell r="C16">
            <v>895</v>
          </cell>
        </row>
        <row r="17">
          <cell r="A17" t="str">
            <v>日本</v>
          </cell>
          <cell r="B17">
            <v>1955124</v>
          </cell>
          <cell r="C17">
            <v>1344</v>
          </cell>
        </row>
        <row r="18">
          <cell r="A18" t="str">
            <v>瑞士</v>
          </cell>
          <cell r="B18">
            <v>1115144</v>
          </cell>
          <cell r="C18">
            <v>487</v>
          </cell>
        </row>
        <row r="19">
          <cell r="A19" t="str">
            <v>巴西</v>
          </cell>
          <cell r="B19">
            <v>722405</v>
          </cell>
          <cell r="C19">
            <v>261</v>
          </cell>
        </row>
        <row r="20">
          <cell r="A20" t="str">
            <v>南非</v>
          </cell>
          <cell r="B20">
            <v>702398</v>
          </cell>
          <cell r="C20">
            <v>248</v>
          </cell>
        </row>
        <row r="21">
          <cell r="A21" t="str">
            <v>奧地利</v>
          </cell>
          <cell r="B21">
            <v>681012</v>
          </cell>
          <cell r="C21">
            <v>306</v>
          </cell>
        </row>
        <row r="22">
          <cell r="A22" t="str">
            <v>挪威</v>
          </cell>
          <cell r="B22">
            <v>580421</v>
          </cell>
          <cell r="C22">
            <v>386</v>
          </cell>
        </row>
        <row r="23">
          <cell r="A23" t="str">
            <v>墨西哥</v>
          </cell>
          <cell r="B23">
            <v>478581</v>
          </cell>
          <cell r="C23">
            <v>304</v>
          </cell>
        </row>
        <row r="24">
          <cell r="A24" t="str">
            <v>南韓</v>
          </cell>
          <cell r="B24">
            <v>472668</v>
          </cell>
          <cell r="C24">
            <v>122</v>
          </cell>
        </row>
        <row r="25">
          <cell r="A25" t="str">
            <v>波蘭</v>
          </cell>
          <cell r="B25">
            <v>449967</v>
          </cell>
          <cell r="C25">
            <v>232</v>
          </cell>
        </row>
        <row r="26">
          <cell r="A26" t="str">
            <v>芬蘭</v>
          </cell>
          <cell r="B26">
            <v>442477</v>
          </cell>
          <cell r="C26">
            <v>254</v>
          </cell>
        </row>
        <row r="27">
          <cell r="A27" t="str">
            <v>捷克</v>
          </cell>
          <cell r="B27">
            <v>377924</v>
          </cell>
          <cell r="C27">
            <v>355</v>
          </cell>
        </row>
        <row r="28">
          <cell r="A28" t="str">
            <v>哥倫比亞</v>
          </cell>
          <cell r="B28">
            <v>201971</v>
          </cell>
          <cell r="C28">
            <v>79</v>
          </cell>
        </row>
        <row r="29">
          <cell r="A29" t="str">
            <v>多明尼加</v>
          </cell>
          <cell r="B29">
            <v>182687</v>
          </cell>
          <cell r="C29">
            <v>60</v>
          </cell>
        </row>
        <row r="30">
          <cell r="A30" t="str">
            <v>馬來西亞</v>
          </cell>
          <cell r="B30">
            <v>181538</v>
          </cell>
          <cell r="C30">
            <v>48</v>
          </cell>
        </row>
        <row r="31">
          <cell r="A31" t="str">
            <v>新加坡</v>
          </cell>
          <cell r="B31">
            <v>142083</v>
          </cell>
          <cell r="C31">
            <v>48</v>
          </cell>
        </row>
        <row r="32">
          <cell r="A32" t="str">
            <v>瑞典</v>
          </cell>
          <cell r="B32">
            <v>131702</v>
          </cell>
          <cell r="C32">
            <v>326</v>
          </cell>
        </row>
        <row r="33">
          <cell r="A33" t="str">
            <v>以色列</v>
          </cell>
          <cell r="B33">
            <v>82917</v>
          </cell>
          <cell r="C33">
            <v>17</v>
          </cell>
        </row>
        <row r="34">
          <cell r="A34" t="str">
            <v>中國大陸</v>
          </cell>
          <cell r="B34">
            <v>79993</v>
          </cell>
          <cell r="C34">
            <v>61</v>
          </cell>
        </row>
        <row r="35">
          <cell r="A35" t="str">
            <v>哥斯大黎加</v>
          </cell>
          <cell r="B35">
            <v>60907</v>
          </cell>
          <cell r="C35">
            <v>21</v>
          </cell>
        </row>
        <row r="36">
          <cell r="A36" t="str">
            <v>秘魯</v>
          </cell>
          <cell r="B36">
            <v>28417</v>
          </cell>
          <cell r="C36">
            <v>11</v>
          </cell>
        </row>
        <row r="37">
          <cell r="A37" t="str">
            <v>烏拉圭</v>
          </cell>
          <cell r="B37">
            <v>19777</v>
          </cell>
          <cell r="C37">
            <v>9</v>
          </cell>
        </row>
        <row r="38">
          <cell r="A38" t="str">
            <v>阿拉伯聯合大公國</v>
          </cell>
          <cell r="B38">
            <v>14849</v>
          </cell>
          <cell r="C38">
            <v>6</v>
          </cell>
        </row>
        <row r="39">
          <cell r="A39" t="str">
            <v>阿根廷</v>
          </cell>
          <cell r="B39">
            <v>12812</v>
          </cell>
          <cell r="C39">
            <v>4</v>
          </cell>
        </row>
        <row r="40">
          <cell r="A40" t="str">
            <v>厄瓜多</v>
          </cell>
          <cell r="B40">
            <v>2825</v>
          </cell>
          <cell r="C40">
            <v>1</v>
          </cell>
        </row>
        <row r="41">
          <cell r="A41" t="str">
            <v>印尼</v>
          </cell>
          <cell r="B41">
            <v>2332</v>
          </cell>
          <cell r="C41">
            <v>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2023年01至04月
出口金額($US)</v>
          </cell>
          <cell r="C2" t="str">
            <v>2023年01至04月
出口數量</v>
          </cell>
        </row>
        <row r="3">
          <cell r="A3" t="str">
            <v>總計</v>
          </cell>
          <cell r="B3">
            <v>516258492</v>
          </cell>
          <cell r="C3">
            <v>316956</v>
          </cell>
        </row>
        <row r="4">
          <cell r="A4" t="str">
            <v>荷蘭</v>
          </cell>
          <cell r="B4">
            <v>185105432</v>
          </cell>
          <cell r="C4">
            <v>120212</v>
          </cell>
        </row>
        <row r="5">
          <cell r="A5" t="str">
            <v>美國</v>
          </cell>
          <cell r="B5">
            <v>128872653</v>
          </cell>
          <cell r="C5">
            <v>62665</v>
          </cell>
        </row>
        <row r="6">
          <cell r="A6" t="str">
            <v>英國</v>
          </cell>
          <cell r="B6">
            <v>28766515</v>
          </cell>
          <cell r="C6">
            <v>21178</v>
          </cell>
        </row>
        <row r="7">
          <cell r="A7" t="str">
            <v>德國</v>
          </cell>
          <cell r="B7">
            <v>27843163</v>
          </cell>
          <cell r="C7">
            <v>29886</v>
          </cell>
        </row>
        <row r="8">
          <cell r="A8" t="str">
            <v>法國</v>
          </cell>
          <cell r="B8">
            <v>16006545</v>
          </cell>
          <cell r="C8">
            <v>12188</v>
          </cell>
        </row>
        <row r="9">
          <cell r="A9" t="str">
            <v>加拿大</v>
          </cell>
          <cell r="B9">
            <v>14909038</v>
          </cell>
          <cell r="C9">
            <v>7364</v>
          </cell>
        </row>
        <row r="10">
          <cell r="A10" t="str">
            <v>希臘</v>
          </cell>
          <cell r="B10">
            <v>14606144</v>
          </cell>
          <cell r="C10">
            <v>5932</v>
          </cell>
        </row>
        <row r="11">
          <cell r="A11" t="str">
            <v>澳大利亞</v>
          </cell>
          <cell r="B11">
            <v>12277030</v>
          </cell>
          <cell r="C11">
            <v>5795</v>
          </cell>
        </row>
        <row r="12">
          <cell r="A12" t="str">
            <v>義大利</v>
          </cell>
          <cell r="B12">
            <v>11818974</v>
          </cell>
          <cell r="C12">
            <v>5536</v>
          </cell>
        </row>
        <row r="13">
          <cell r="A13" t="str">
            <v>紐西蘭</v>
          </cell>
          <cell r="B13">
            <v>11220827</v>
          </cell>
          <cell r="C13">
            <v>4910</v>
          </cell>
        </row>
        <row r="14">
          <cell r="A14" t="str">
            <v>比利時</v>
          </cell>
          <cell r="B14">
            <v>9271295</v>
          </cell>
          <cell r="C14">
            <v>5083</v>
          </cell>
        </row>
        <row r="15">
          <cell r="A15" t="str">
            <v>瑞士</v>
          </cell>
          <cell r="B15">
            <v>9101806</v>
          </cell>
          <cell r="C15">
            <v>4900</v>
          </cell>
        </row>
        <row r="16">
          <cell r="A16" t="str">
            <v>西班牙</v>
          </cell>
          <cell r="B16">
            <v>6676203</v>
          </cell>
          <cell r="C16">
            <v>4544</v>
          </cell>
        </row>
        <row r="17">
          <cell r="A17" t="str">
            <v>丹麥</v>
          </cell>
          <cell r="B17">
            <v>6538409</v>
          </cell>
          <cell r="C17">
            <v>4322</v>
          </cell>
        </row>
        <row r="18">
          <cell r="A18" t="str">
            <v>日本</v>
          </cell>
          <cell r="B18">
            <v>5305620</v>
          </cell>
          <cell r="C18">
            <v>4421</v>
          </cell>
        </row>
        <row r="19">
          <cell r="A19" t="str">
            <v>挪威</v>
          </cell>
          <cell r="B19">
            <v>4353751</v>
          </cell>
          <cell r="C19">
            <v>2576</v>
          </cell>
        </row>
        <row r="20">
          <cell r="A20" t="str">
            <v>奧地利</v>
          </cell>
          <cell r="B20">
            <v>3553674</v>
          </cell>
          <cell r="C20">
            <v>1724</v>
          </cell>
        </row>
        <row r="21">
          <cell r="A21" t="str">
            <v>南非</v>
          </cell>
          <cell r="B21">
            <v>2900612</v>
          </cell>
          <cell r="C21">
            <v>1106</v>
          </cell>
        </row>
        <row r="22">
          <cell r="A22" t="str">
            <v>南韓</v>
          </cell>
          <cell r="B22">
            <v>2551770</v>
          </cell>
          <cell r="C22">
            <v>1057</v>
          </cell>
        </row>
        <row r="23">
          <cell r="A23" t="str">
            <v>捷克</v>
          </cell>
          <cell r="B23">
            <v>2364192</v>
          </cell>
          <cell r="C23">
            <v>3490</v>
          </cell>
        </row>
        <row r="24">
          <cell r="A24" t="str">
            <v>波蘭</v>
          </cell>
          <cell r="B24">
            <v>2250241</v>
          </cell>
          <cell r="C24">
            <v>1202</v>
          </cell>
        </row>
        <row r="25">
          <cell r="A25" t="str">
            <v>智利</v>
          </cell>
          <cell r="B25">
            <v>1527059</v>
          </cell>
          <cell r="C25">
            <v>601</v>
          </cell>
        </row>
        <row r="26">
          <cell r="A26" t="str">
            <v>墨西哥</v>
          </cell>
          <cell r="B26">
            <v>1522763</v>
          </cell>
          <cell r="C26">
            <v>745</v>
          </cell>
        </row>
        <row r="27">
          <cell r="A27" t="str">
            <v>瑞典</v>
          </cell>
          <cell r="B27">
            <v>1270376</v>
          </cell>
          <cell r="C27">
            <v>3190</v>
          </cell>
        </row>
        <row r="28">
          <cell r="A28" t="str">
            <v>巴拿馬</v>
          </cell>
          <cell r="B28">
            <v>1182331</v>
          </cell>
          <cell r="C28">
            <v>402</v>
          </cell>
        </row>
        <row r="29">
          <cell r="A29" t="str">
            <v>巴西</v>
          </cell>
          <cell r="B29">
            <v>1095437</v>
          </cell>
          <cell r="C29">
            <v>419</v>
          </cell>
        </row>
        <row r="30">
          <cell r="A30" t="str">
            <v>哥倫比亞</v>
          </cell>
          <cell r="B30">
            <v>778696</v>
          </cell>
          <cell r="C30">
            <v>347</v>
          </cell>
        </row>
        <row r="31">
          <cell r="A31" t="str">
            <v>芬蘭</v>
          </cell>
          <cell r="B31">
            <v>667340</v>
          </cell>
          <cell r="C31">
            <v>357</v>
          </cell>
        </row>
        <row r="32">
          <cell r="A32" t="str">
            <v>馬來西亞</v>
          </cell>
          <cell r="B32">
            <v>331757</v>
          </cell>
          <cell r="C32">
            <v>103</v>
          </cell>
        </row>
        <row r="33">
          <cell r="A33" t="str">
            <v>中國大陸</v>
          </cell>
          <cell r="B33">
            <v>246489</v>
          </cell>
          <cell r="C33">
            <v>178</v>
          </cell>
        </row>
        <row r="34">
          <cell r="A34" t="str">
            <v>以色列</v>
          </cell>
          <cell r="B34">
            <v>219126</v>
          </cell>
          <cell r="C34">
            <v>76</v>
          </cell>
        </row>
        <row r="35">
          <cell r="A35" t="str">
            <v>新加坡</v>
          </cell>
          <cell r="B35">
            <v>198251</v>
          </cell>
          <cell r="C35">
            <v>68</v>
          </cell>
        </row>
        <row r="36">
          <cell r="A36" t="str">
            <v>多明尼加</v>
          </cell>
          <cell r="B36">
            <v>182687</v>
          </cell>
          <cell r="C36">
            <v>60</v>
          </cell>
        </row>
        <row r="37">
          <cell r="A37" t="str">
            <v>匈牙利</v>
          </cell>
          <cell r="B37">
            <v>156330</v>
          </cell>
          <cell r="C37">
            <v>86</v>
          </cell>
        </row>
        <row r="38">
          <cell r="A38" t="str">
            <v>哥斯大黎加</v>
          </cell>
          <cell r="B38">
            <v>153837</v>
          </cell>
          <cell r="C38">
            <v>59</v>
          </cell>
        </row>
        <row r="39">
          <cell r="A39" t="str">
            <v>秘魯</v>
          </cell>
          <cell r="B39">
            <v>116691</v>
          </cell>
          <cell r="C39">
            <v>53</v>
          </cell>
        </row>
        <row r="40">
          <cell r="A40" t="str">
            <v>阿拉伯聯合大公國</v>
          </cell>
          <cell r="B40">
            <v>102252</v>
          </cell>
          <cell r="C40">
            <v>38</v>
          </cell>
        </row>
        <row r="41">
          <cell r="A41" t="str">
            <v>冰島</v>
          </cell>
          <cell r="B41">
            <v>60288</v>
          </cell>
          <cell r="C41">
            <v>32</v>
          </cell>
        </row>
        <row r="42">
          <cell r="A42" t="str">
            <v>葡萄牙</v>
          </cell>
          <cell r="B42">
            <v>49329</v>
          </cell>
          <cell r="C42">
            <v>14</v>
          </cell>
        </row>
        <row r="43">
          <cell r="A43" t="str">
            <v>關島</v>
          </cell>
          <cell r="B43">
            <v>37880</v>
          </cell>
          <cell r="C43">
            <v>11</v>
          </cell>
        </row>
        <row r="44">
          <cell r="A44" t="str">
            <v>厄瓜多</v>
          </cell>
          <cell r="B44">
            <v>27588</v>
          </cell>
          <cell r="C44">
            <v>10</v>
          </cell>
        </row>
        <row r="45">
          <cell r="A45" t="str">
            <v>烏拉圭</v>
          </cell>
          <cell r="B45">
            <v>20855</v>
          </cell>
          <cell r="C45">
            <v>10</v>
          </cell>
        </row>
        <row r="46">
          <cell r="A46" t="str">
            <v>阿根廷</v>
          </cell>
          <cell r="B46">
            <v>12812</v>
          </cell>
          <cell r="C46">
            <v>4</v>
          </cell>
        </row>
        <row r="47">
          <cell r="A47" t="str">
            <v>印尼</v>
          </cell>
          <cell r="B47">
            <v>2332</v>
          </cell>
          <cell r="C47">
            <v>1</v>
          </cell>
        </row>
        <row r="48">
          <cell r="A48" t="str">
            <v>菲律賓</v>
          </cell>
          <cell r="B48">
            <v>2092</v>
          </cell>
          <cell r="C48">
            <v>1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2022年01至04月
出口金額($US)</v>
          </cell>
          <cell r="C2" t="str">
            <v>2022年01至04月
出口數量</v>
          </cell>
        </row>
        <row r="3">
          <cell r="A3" t="str">
            <v>總計</v>
          </cell>
          <cell r="B3">
            <v>474200567</v>
          </cell>
          <cell r="C3">
            <v>332734</v>
          </cell>
        </row>
        <row r="4">
          <cell r="A4" t="str">
            <v>美國</v>
          </cell>
          <cell r="B4">
            <v>161756289</v>
          </cell>
          <cell r="C4">
            <v>99001</v>
          </cell>
        </row>
        <row r="5">
          <cell r="A5" t="str">
            <v>荷蘭</v>
          </cell>
          <cell r="B5">
            <v>145757714</v>
          </cell>
          <cell r="C5">
            <v>112397</v>
          </cell>
        </row>
        <row r="6">
          <cell r="A6" t="str">
            <v>德國</v>
          </cell>
          <cell r="B6">
            <v>32583596</v>
          </cell>
          <cell r="C6">
            <v>37916</v>
          </cell>
        </row>
        <row r="7">
          <cell r="A7" t="str">
            <v>英國</v>
          </cell>
          <cell r="B7">
            <v>26314863</v>
          </cell>
          <cell r="C7">
            <v>17356</v>
          </cell>
        </row>
        <row r="8">
          <cell r="A8" t="str">
            <v>義大利</v>
          </cell>
          <cell r="B8">
            <v>15899231</v>
          </cell>
          <cell r="C8">
            <v>7740</v>
          </cell>
        </row>
        <row r="9">
          <cell r="A9" t="str">
            <v>澳大利亞</v>
          </cell>
          <cell r="B9">
            <v>13340097</v>
          </cell>
          <cell r="C9">
            <v>6966</v>
          </cell>
        </row>
        <row r="10">
          <cell r="A10" t="str">
            <v>法國</v>
          </cell>
          <cell r="B10">
            <v>11398288</v>
          </cell>
          <cell r="C10">
            <v>10417</v>
          </cell>
        </row>
        <row r="11">
          <cell r="A11" t="str">
            <v>加拿大</v>
          </cell>
          <cell r="B11">
            <v>11246922</v>
          </cell>
          <cell r="C11">
            <v>5441</v>
          </cell>
        </row>
        <row r="12">
          <cell r="A12" t="str">
            <v>紐西蘭</v>
          </cell>
          <cell r="B12">
            <v>6899504</v>
          </cell>
          <cell r="C12">
            <v>3244</v>
          </cell>
        </row>
        <row r="13">
          <cell r="A13" t="str">
            <v>瑞士</v>
          </cell>
          <cell r="B13">
            <v>5496238</v>
          </cell>
          <cell r="C13">
            <v>3116</v>
          </cell>
        </row>
        <row r="14">
          <cell r="A14" t="str">
            <v>西班牙</v>
          </cell>
          <cell r="B14">
            <v>4310304</v>
          </cell>
          <cell r="C14">
            <v>2663</v>
          </cell>
        </row>
        <row r="15">
          <cell r="A15" t="str">
            <v>日本</v>
          </cell>
          <cell r="B15">
            <v>3914656</v>
          </cell>
          <cell r="C15">
            <v>3738</v>
          </cell>
        </row>
        <row r="16">
          <cell r="A16" t="str">
            <v>南非</v>
          </cell>
          <cell r="B16">
            <v>3592218</v>
          </cell>
          <cell r="C16">
            <v>1445</v>
          </cell>
        </row>
        <row r="17">
          <cell r="A17" t="str">
            <v>丹麥</v>
          </cell>
          <cell r="B17">
            <v>3590947</v>
          </cell>
          <cell r="C17">
            <v>2432</v>
          </cell>
        </row>
        <row r="18">
          <cell r="A18" t="str">
            <v>智利</v>
          </cell>
          <cell r="B18">
            <v>3433353</v>
          </cell>
          <cell r="C18">
            <v>1351</v>
          </cell>
        </row>
        <row r="19">
          <cell r="A19" t="str">
            <v>挪威</v>
          </cell>
          <cell r="B19">
            <v>2673170</v>
          </cell>
          <cell r="C19">
            <v>1684</v>
          </cell>
        </row>
        <row r="20">
          <cell r="A20" t="str">
            <v>墨西哥</v>
          </cell>
          <cell r="B20">
            <v>2647015</v>
          </cell>
          <cell r="C20">
            <v>1074</v>
          </cell>
        </row>
        <row r="21">
          <cell r="A21" t="str">
            <v>巴拿馬</v>
          </cell>
          <cell r="B21">
            <v>2409800</v>
          </cell>
          <cell r="C21">
            <v>924</v>
          </cell>
        </row>
        <row r="22">
          <cell r="A22" t="str">
            <v>南韓</v>
          </cell>
          <cell r="B22">
            <v>2136405</v>
          </cell>
          <cell r="C22">
            <v>1001</v>
          </cell>
        </row>
        <row r="23">
          <cell r="A23" t="str">
            <v>巴西</v>
          </cell>
          <cell r="B23">
            <v>2010916</v>
          </cell>
          <cell r="C23">
            <v>801</v>
          </cell>
        </row>
        <row r="24">
          <cell r="A24" t="str">
            <v>比利時</v>
          </cell>
          <cell r="B24">
            <v>1998295</v>
          </cell>
          <cell r="C24">
            <v>1220</v>
          </cell>
        </row>
        <row r="25">
          <cell r="A25" t="str">
            <v>波蘭</v>
          </cell>
          <cell r="B25">
            <v>1785155</v>
          </cell>
          <cell r="C25">
            <v>1268</v>
          </cell>
        </row>
        <row r="26">
          <cell r="A26" t="str">
            <v>瑞典</v>
          </cell>
          <cell r="B26">
            <v>1561150</v>
          </cell>
          <cell r="C26">
            <v>3110</v>
          </cell>
        </row>
        <row r="27">
          <cell r="A27" t="str">
            <v>哥倫比亞</v>
          </cell>
          <cell r="B27">
            <v>1074586</v>
          </cell>
          <cell r="C27">
            <v>459</v>
          </cell>
        </row>
        <row r="28">
          <cell r="A28" t="str">
            <v>捷克</v>
          </cell>
          <cell r="B28">
            <v>1052195</v>
          </cell>
          <cell r="C28">
            <v>3368</v>
          </cell>
        </row>
        <row r="29">
          <cell r="A29" t="str">
            <v>以色列</v>
          </cell>
          <cell r="B29">
            <v>894755</v>
          </cell>
          <cell r="C29">
            <v>293</v>
          </cell>
        </row>
        <row r="30">
          <cell r="A30" t="str">
            <v>馬來西亞</v>
          </cell>
          <cell r="B30">
            <v>721057</v>
          </cell>
          <cell r="C30">
            <v>223</v>
          </cell>
        </row>
        <row r="31">
          <cell r="A31" t="str">
            <v>新加坡</v>
          </cell>
          <cell r="B31">
            <v>473763</v>
          </cell>
          <cell r="C31">
            <v>138</v>
          </cell>
        </row>
        <row r="32">
          <cell r="A32" t="str">
            <v>菲律賓</v>
          </cell>
          <cell r="B32">
            <v>440406</v>
          </cell>
          <cell r="C32">
            <v>174</v>
          </cell>
        </row>
        <row r="33">
          <cell r="A33" t="str">
            <v>秘魯</v>
          </cell>
          <cell r="B33">
            <v>363193</v>
          </cell>
          <cell r="C33">
            <v>130</v>
          </cell>
        </row>
        <row r="34">
          <cell r="A34" t="str">
            <v>芬蘭</v>
          </cell>
          <cell r="B34">
            <v>333786</v>
          </cell>
          <cell r="C34">
            <v>471</v>
          </cell>
        </row>
        <row r="35">
          <cell r="A35" t="str">
            <v>厄瓜多</v>
          </cell>
          <cell r="B35">
            <v>317510</v>
          </cell>
          <cell r="C35">
            <v>109</v>
          </cell>
        </row>
        <row r="36">
          <cell r="A36" t="str">
            <v>阿根廷</v>
          </cell>
          <cell r="B36">
            <v>289824</v>
          </cell>
          <cell r="C36">
            <v>108</v>
          </cell>
        </row>
        <row r="37">
          <cell r="A37" t="str">
            <v>香港</v>
          </cell>
          <cell r="B37">
            <v>272683</v>
          </cell>
          <cell r="C37">
            <v>164</v>
          </cell>
        </row>
        <row r="38">
          <cell r="A38" t="str">
            <v>多明尼加</v>
          </cell>
          <cell r="B38">
            <v>257460</v>
          </cell>
          <cell r="C38">
            <v>113</v>
          </cell>
        </row>
        <row r="39">
          <cell r="A39" t="str">
            <v>波多黎各</v>
          </cell>
          <cell r="B39">
            <v>241262</v>
          </cell>
          <cell r="C39">
            <v>102</v>
          </cell>
        </row>
        <row r="40">
          <cell r="A40" t="str">
            <v>瓜地馬拉</v>
          </cell>
          <cell r="B40">
            <v>194801</v>
          </cell>
          <cell r="C40">
            <v>72</v>
          </cell>
        </row>
        <row r="41">
          <cell r="A41" t="str">
            <v>斯洛維尼亞</v>
          </cell>
          <cell r="B41">
            <v>193132</v>
          </cell>
          <cell r="C41">
            <v>357</v>
          </cell>
        </row>
        <row r="42">
          <cell r="A42" t="str">
            <v>烏拉圭</v>
          </cell>
          <cell r="B42">
            <v>74301</v>
          </cell>
          <cell r="C42">
            <v>36</v>
          </cell>
        </row>
        <row r="43">
          <cell r="A43" t="str">
            <v>哥斯大黎加</v>
          </cell>
          <cell r="B43">
            <v>68130</v>
          </cell>
          <cell r="C43">
            <v>27</v>
          </cell>
        </row>
        <row r="44">
          <cell r="A44" t="str">
            <v>留尼旺</v>
          </cell>
          <cell r="B44">
            <v>60858</v>
          </cell>
          <cell r="C44">
            <v>22</v>
          </cell>
        </row>
        <row r="45">
          <cell r="A45" t="str">
            <v>匈牙利</v>
          </cell>
          <cell r="B45">
            <v>35059</v>
          </cell>
          <cell r="C45">
            <v>15</v>
          </cell>
        </row>
        <row r="46">
          <cell r="A46" t="str">
            <v>關島</v>
          </cell>
          <cell r="B46">
            <v>25558</v>
          </cell>
          <cell r="C46">
            <v>6</v>
          </cell>
        </row>
        <row r="47">
          <cell r="A47" t="str">
            <v>波士尼亞及赫塞哥維納</v>
          </cell>
          <cell r="B47">
            <v>22124</v>
          </cell>
          <cell r="C47">
            <v>15</v>
          </cell>
        </row>
        <row r="48">
          <cell r="A48" t="str">
            <v>奧地利</v>
          </cell>
          <cell r="B48">
            <v>18604</v>
          </cell>
          <cell r="C48">
            <v>7</v>
          </cell>
        </row>
        <row r="49">
          <cell r="A49" t="str">
            <v>阿拉伯聯合大公國</v>
          </cell>
          <cell r="B49">
            <v>14069</v>
          </cell>
          <cell r="C49">
            <v>16</v>
          </cell>
        </row>
        <row r="50">
          <cell r="A50" t="str">
            <v>中國大陸</v>
          </cell>
          <cell r="B50">
            <v>5325</v>
          </cell>
          <cell r="C50">
            <v>4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2023年04月
出口金額($US)</v>
          </cell>
          <cell r="D2" t="str">
            <v>2023年04月
出口重量(KG)</v>
          </cell>
          <cell r="E2" t="str">
            <v>2023年04月
出口數量</v>
          </cell>
        </row>
        <row r="3">
          <cell r="A3">
            <v>87149120007</v>
          </cell>
          <cell r="B3" t="str">
            <v>其他車架及叉及其零件</v>
          </cell>
          <cell r="C3">
            <v>60979038</v>
          </cell>
          <cell r="D3">
            <v>939193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16721293</v>
          </cell>
          <cell r="D4">
            <v>329476</v>
          </cell>
          <cell r="E4">
            <v>0</v>
          </cell>
        </row>
        <row r="5">
          <cell r="A5">
            <v>87149320906</v>
          </cell>
          <cell r="B5" t="str">
            <v>其他飛輪之鏈輪</v>
          </cell>
          <cell r="C5">
            <v>11676814</v>
          </cell>
          <cell r="D5">
            <v>229300</v>
          </cell>
          <cell r="E5">
            <v>0</v>
          </cell>
        </row>
        <row r="6">
          <cell r="A6">
            <v>87149990111</v>
          </cell>
          <cell r="B6" t="str">
            <v>腳踏車用變速器</v>
          </cell>
          <cell r="C6">
            <v>11644256</v>
          </cell>
          <cell r="D6">
            <v>104308</v>
          </cell>
          <cell r="E6">
            <v>0</v>
          </cell>
        </row>
        <row r="7">
          <cell r="A7">
            <v>87149620002</v>
          </cell>
          <cell r="B7" t="str">
            <v>曲柄齒輪及其零件</v>
          </cell>
          <cell r="C7">
            <v>8874610</v>
          </cell>
          <cell r="D7">
            <v>178135</v>
          </cell>
          <cell r="E7">
            <v>0</v>
          </cell>
        </row>
        <row r="8">
          <cell r="A8">
            <v>87149200304</v>
          </cell>
          <cell r="B8" t="str">
            <v>輪圈及輪幅</v>
          </cell>
          <cell r="C8">
            <v>8522542</v>
          </cell>
          <cell r="D8">
            <v>76151</v>
          </cell>
          <cell r="E8">
            <v>62844</v>
          </cell>
        </row>
        <row r="9">
          <cell r="A9">
            <v>87149990157</v>
          </cell>
          <cell r="B9" t="str">
            <v>腳踏車用座管及上下管</v>
          </cell>
          <cell r="C9">
            <v>6881939</v>
          </cell>
          <cell r="D9">
            <v>141485</v>
          </cell>
          <cell r="E9">
            <v>0</v>
          </cell>
        </row>
        <row r="10">
          <cell r="A10">
            <v>87149610004</v>
          </cell>
          <cell r="B10" t="str">
            <v>踏板及其零件</v>
          </cell>
          <cell r="C10">
            <v>4631168</v>
          </cell>
          <cell r="D10">
            <v>174028</v>
          </cell>
          <cell r="E10">
            <v>0</v>
          </cell>
        </row>
        <row r="11">
          <cell r="A11">
            <v>87149990166</v>
          </cell>
          <cell r="B11" t="str">
            <v>腳踏車用把手</v>
          </cell>
          <cell r="C11">
            <v>4019726</v>
          </cell>
          <cell r="D11">
            <v>122765</v>
          </cell>
          <cell r="E11">
            <v>0</v>
          </cell>
        </row>
        <row r="12">
          <cell r="A12">
            <v>87149310007</v>
          </cell>
          <cell r="B12" t="str">
            <v>輪轂，但倒煞車輪轂及輪轂煞車除外</v>
          </cell>
          <cell r="C12">
            <v>3908018</v>
          </cell>
          <cell r="D12">
            <v>71966</v>
          </cell>
          <cell r="E12">
            <v>0</v>
          </cell>
        </row>
        <row r="13">
          <cell r="A13">
            <v>87149500007</v>
          </cell>
          <cell r="B13" t="str">
            <v>腳踏車車座</v>
          </cell>
          <cell r="C13">
            <v>3160344</v>
          </cell>
          <cell r="D13">
            <v>116250</v>
          </cell>
          <cell r="E13">
            <v>0</v>
          </cell>
        </row>
        <row r="14">
          <cell r="A14">
            <v>87149200108</v>
          </cell>
          <cell r="B14" t="str">
            <v>輪圈</v>
          </cell>
          <cell r="C14">
            <v>3023260</v>
          </cell>
          <cell r="D14">
            <v>139631</v>
          </cell>
          <cell r="E14">
            <v>271955</v>
          </cell>
        </row>
        <row r="15">
          <cell r="A15">
            <v>87149990148</v>
          </cell>
          <cell r="B15" t="str">
            <v>腳踏車用把手豎管</v>
          </cell>
          <cell r="C15">
            <v>2625094</v>
          </cell>
          <cell r="D15">
            <v>67868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954470</v>
          </cell>
          <cell r="D16">
            <v>60791</v>
          </cell>
          <cell r="E16">
            <v>8548209</v>
          </cell>
        </row>
        <row r="17">
          <cell r="A17">
            <v>87149410006</v>
          </cell>
          <cell r="B17" t="str">
            <v>鋼?煞車器及其零件</v>
          </cell>
          <cell r="C17">
            <v>310973</v>
          </cell>
          <cell r="D17">
            <v>13608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295727</v>
          </cell>
          <cell r="D18">
            <v>17839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85709</v>
          </cell>
          <cell r="D19">
            <v>1997</v>
          </cell>
          <cell r="E19">
            <v>0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2023年01至04月
出口金額($US)</v>
          </cell>
          <cell r="D2" t="str">
            <v>2023年01至04月
出口重量(KG)</v>
          </cell>
          <cell r="E2" t="str">
            <v>2023年01至04月
出口數量</v>
          </cell>
        </row>
        <row r="3">
          <cell r="A3">
            <v>87149120007</v>
          </cell>
          <cell r="B3" t="str">
            <v>其他車架及叉及其零件</v>
          </cell>
          <cell r="C3">
            <v>290250255</v>
          </cell>
          <cell r="D3">
            <v>4577162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80770056</v>
          </cell>
          <cell r="D4">
            <v>1599242</v>
          </cell>
          <cell r="E4">
            <v>0</v>
          </cell>
        </row>
        <row r="5">
          <cell r="A5">
            <v>87149320906</v>
          </cell>
          <cell r="B5" t="str">
            <v>其他飛輪之鏈輪</v>
          </cell>
          <cell r="C5">
            <v>48834291</v>
          </cell>
          <cell r="D5">
            <v>975431</v>
          </cell>
          <cell r="E5">
            <v>0</v>
          </cell>
        </row>
        <row r="6">
          <cell r="A6">
            <v>87149990111</v>
          </cell>
          <cell r="B6" t="str">
            <v>腳踏車用變速器</v>
          </cell>
          <cell r="C6">
            <v>45396336</v>
          </cell>
          <cell r="D6">
            <v>422337</v>
          </cell>
          <cell r="E6">
            <v>0</v>
          </cell>
        </row>
        <row r="7">
          <cell r="A7">
            <v>87149620002</v>
          </cell>
          <cell r="B7" t="str">
            <v>曲柄齒輪及其零件</v>
          </cell>
          <cell r="C7">
            <v>36808411</v>
          </cell>
          <cell r="D7">
            <v>720256</v>
          </cell>
          <cell r="E7">
            <v>0</v>
          </cell>
        </row>
        <row r="8">
          <cell r="A8">
            <v>87149200304</v>
          </cell>
          <cell r="B8" t="str">
            <v>輪圈及輪幅</v>
          </cell>
          <cell r="C8">
            <v>36097850</v>
          </cell>
          <cell r="D8">
            <v>316894</v>
          </cell>
          <cell r="E8">
            <v>249593</v>
          </cell>
        </row>
        <row r="9">
          <cell r="A9">
            <v>87149990157</v>
          </cell>
          <cell r="B9" t="str">
            <v>腳踏車用座管及上下管</v>
          </cell>
          <cell r="C9">
            <v>27505637</v>
          </cell>
          <cell r="D9">
            <v>600878</v>
          </cell>
          <cell r="E9">
            <v>0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21001164</v>
          </cell>
          <cell r="D10">
            <v>378706</v>
          </cell>
          <cell r="E10">
            <v>0</v>
          </cell>
        </row>
        <row r="11">
          <cell r="A11">
            <v>87149610004</v>
          </cell>
          <cell r="B11" t="str">
            <v>踏板及其零件</v>
          </cell>
          <cell r="C11">
            <v>20733376</v>
          </cell>
          <cell r="D11">
            <v>836475</v>
          </cell>
          <cell r="E11">
            <v>0</v>
          </cell>
        </row>
        <row r="12">
          <cell r="A12">
            <v>87149990166</v>
          </cell>
          <cell r="B12" t="str">
            <v>腳踏車用把手</v>
          </cell>
          <cell r="C12">
            <v>19167619</v>
          </cell>
          <cell r="D12">
            <v>566464</v>
          </cell>
          <cell r="E12">
            <v>0</v>
          </cell>
        </row>
        <row r="13">
          <cell r="A13">
            <v>87149500007</v>
          </cell>
          <cell r="B13" t="str">
            <v>腳踏車車座</v>
          </cell>
          <cell r="C13">
            <v>13326889</v>
          </cell>
          <cell r="D13">
            <v>504000</v>
          </cell>
          <cell r="E13">
            <v>0</v>
          </cell>
        </row>
        <row r="14">
          <cell r="A14">
            <v>87149200108</v>
          </cell>
          <cell r="B14" t="str">
            <v>輪圈</v>
          </cell>
          <cell r="C14">
            <v>12823972</v>
          </cell>
          <cell r="D14">
            <v>605430</v>
          </cell>
          <cell r="E14">
            <v>1156155</v>
          </cell>
        </row>
        <row r="15">
          <cell r="A15">
            <v>87149990148</v>
          </cell>
          <cell r="B15" t="str">
            <v>腳踏車用把手豎管</v>
          </cell>
          <cell r="C15">
            <v>11618810</v>
          </cell>
          <cell r="D15">
            <v>295357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3415874</v>
          </cell>
          <cell r="D16">
            <v>275094</v>
          </cell>
          <cell r="E16">
            <v>37816228</v>
          </cell>
        </row>
        <row r="17">
          <cell r="A17">
            <v>87149410006</v>
          </cell>
          <cell r="B17" t="str">
            <v>鋼?煞車器及其零件</v>
          </cell>
          <cell r="C17">
            <v>2148899</v>
          </cell>
          <cell r="D17">
            <v>83328</v>
          </cell>
          <cell r="E17">
            <v>0</v>
          </cell>
        </row>
        <row r="18">
          <cell r="A18">
            <v>87149990139</v>
          </cell>
          <cell r="B18" t="str">
            <v>腳踏車用軸心</v>
          </cell>
          <cell r="C18">
            <v>1015294</v>
          </cell>
          <cell r="D18">
            <v>50004</v>
          </cell>
          <cell r="E18">
            <v>0</v>
          </cell>
        </row>
        <row r="19">
          <cell r="A19">
            <v>87149320103</v>
          </cell>
          <cell r="B19" t="str">
            <v>裝有棘輪機構之單一鏈輪　</v>
          </cell>
          <cell r="C19">
            <v>353191</v>
          </cell>
          <cell r="D19">
            <v>9366</v>
          </cell>
          <cell r="E19">
            <v>0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2023年04月
進口金額($US)</v>
          </cell>
          <cell r="D2" t="str">
            <v>2023年04月
進口重量(KG)</v>
          </cell>
          <cell r="E2" t="str">
            <v>2023年04月
進口數量</v>
          </cell>
        </row>
        <row r="3">
          <cell r="A3">
            <v>87149120007</v>
          </cell>
          <cell r="B3" t="str">
            <v>其他車架及叉及其零件</v>
          </cell>
          <cell r="C3">
            <v>34362422</v>
          </cell>
          <cell r="D3">
            <v>545151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11359162</v>
          </cell>
          <cell r="D4">
            <v>116912</v>
          </cell>
          <cell r="E4">
            <v>0</v>
          </cell>
        </row>
        <row r="5">
          <cell r="A5">
            <v>87149990111</v>
          </cell>
          <cell r="B5" t="str">
            <v>腳踏車用變速器</v>
          </cell>
          <cell r="C5">
            <v>5918319</v>
          </cell>
          <cell r="D5">
            <v>52812</v>
          </cell>
          <cell r="E5">
            <v>0</v>
          </cell>
        </row>
        <row r="6">
          <cell r="A6">
            <v>87149200108</v>
          </cell>
          <cell r="B6" t="str">
            <v>輪圈</v>
          </cell>
          <cell r="C6">
            <v>5638178</v>
          </cell>
          <cell r="D6">
            <v>82574</v>
          </cell>
          <cell r="E6">
            <v>155674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3778510</v>
          </cell>
          <cell r="D7">
            <v>98696</v>
          </cell>
          <cell r="E7">
            <v>0</v>
          </cell>
        </row>
        <row r="8">
          <cell r="A8">
            <v>87149620002</v>
          </cell>
          <cell r="B8" t="str">
            <v>曲柄齒輪及其零件</v>
          </cell>
          <cell r="C8">
            <v>3120359</v>
          </cell>
          <cell r="D8">
            <v>94022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1916038</v>
          </cell>
          <cell r="D9">
            <v>45805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1223252</v>
          </cell>
          <cell r="D10">
            <v>42551</v>
          </cell>
          <cell r="E10">
            <v>0</v>
          </cell>
        </row>
        <row r="11">
          <cell r="A11">
            <v>87149500007</v>
          </cell>
          <cell r="B11" t="str">
            <v>腳踏車車座</v>
          </cell>
          <cell r="C11">
            <v>1111751</v>
          </cell>
          <cell r="D11">
            <v>73895</v>
          </cell>
          <cell r="E11">
            <v>0</v>
          </cell>
        </row>
        <row r="12">
          <cell r="A12">
            <v>87149990157</v>
          </cell>
          <cell r="B12" t="str">
            <v>腳踏車用座管及上下管</v>
          </cell>
          <cell r="C12">
            <v>1017072</v>
          </cell>
          <cell r="D12">
            <v>26276</v>
          </cell>
          <cell r="E12">
            <v>0</v>
          </cell>
        </row>
        <row r="13">
          <cell r="A13">
            <v>87149200304</v>
          </cell>
          <cell r="B13" t="str">
            <v>輪圈及輪幅</v>
          </cell>
          <cell r="C13">
            <v>884182</v>
          </cell>
          <cell r="D13">
            <v>14315</v>
          </cell>
          <cell r="E13">
            <v>63334</v>
          </cell>
        </row>
        <row r="14">
          <cell r="A14">
            <v>87149200206</v>
          </cell>
          <cell r="B14" t="str">
            <v>輪幅</v>
          </cell>
          <cell r="C14">
            <v>717903</v>
          </cell>
          <cell r="D14">
            <v>9027</v>
          </cell>
          <cell r="E14">
            <v>1824424</v>
          </cell>
        </row>
        <row r="15">
          <cell r="A15">
            <v>87149320103</v>
          </cell>
          <cell r="B15" t="str">
            <v>裝有棘輪機構之單一鏈輪　</v>
          </cell>
          <cell r="C15">
            <v>488338</v>
          </cell>
          <cell r="D15">
            <v>7314</v>
          </cell>
          <cell r="E15">
            <v>0</v>
          </cell>
        </row>
        <row r="16">
          <cell r="A16">
            <v>87149990148</v>
          </cell>
          <cell r="B16" t="str">
            <v>腳踏車用把手豎管</v>
          </cell>
          <cell r="C16">
            <v>301690</v>
          </cell>
          <cell r="D16">
            <v>9715</v>
          </cell>
          <cell r="E16">
            <v>0</v>
          </cell>
        </row>
        <row r="17">
          <cell r="A17">
            <v>87149410006</v>
          </cell>
          <cell r="B17" t="str">
            <v>鋼?煞車器及其零件</v>
          </cell>
          <cell r="C17">
            <v>287484</v>
          </cell>
          <cell r="D17">
            <v>4685</v>
          </cell>
          <cell r="E17">
            <v>0</v>
          </cell>
        </row>
        <row r="18">
          <cell r="A18">
            <v>87149610004</v>
          </cell>
          <cell r="B18" t="str">
            <v>踏板及其零件</v>
          </cell>
          <cell r="C18">
            <v>163706</v>
          </cell>
          <cell r="D18">
            <v>27373</v>
          </cell>
          <cell r="E18">
            <v>0</v>
          </cell>
        </row>
        <row r="19">
          <cell r="A19">
            <v>87149990139</v>
          </cell>
          <cell r="B19" t="str">
            <v>腳踏車用軸心</v>
          </cell>
          <cell r="C19">
            <v>135905</v>
          </cell>
          <cell r="D19">
            <v>10457</v>
          </cell>
          <cell r="E19">
            <v>0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2023年01至04月
進口金額($US)</v>
          </cell>
          <cell r="D2" t="str">
            <v>2023年01至04月
進口重量(KG)</v>
          </cell>
          <cell r="E2" t="str">
            <v>2023年01至04月
進口數量</v>
          </cell>
        </row>
        <row r="3">
          <cell r="A3">
            <v>87149120007</v>
          </cell>
          <cell r="B3" t="str">
            <v>其他車架及叉及其零件</v>
          </cell>
          <cell r="C3">
            <v>139171267</v>
          </cell>
          <cell r="D3">
            <v>2499598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46681651</v>
          </cell>
          <cell r="D4">
            <v>592276</v>
          </cell>
          <cell r="E4">
            <v>0</v>
          </cell>
        </row>
        <row r="5">
          <cell r="A5">
            <v>87149200108</v>
          </cell>
          <cell r="B5" t="str">
            <v>輪圈</v>
          </cell>
          <cell r="C5">
            <v>22791722</v>
          </cell>
          <cell r="D5">
            <v>339659</v>
          </cell>
          <cell r="E5">
            <v>641834</v>
          </cell>
        </row>
        <row r="6">
          <cell r="A6">
            <v>87149990111</v>
          </cell>
          <cell r="B6" t="str">
            <v>腳踏車用變速器</v>
          </cell>
          <cell r="C6">
            <v>20590251</v>
          </cell>
          <cell r="D6">
            <v>210752</v>
          </cell>
          <cell r="E6">
            <v>0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17185221</v>
          </cell>
          <cell r="D7">
            <v>500404</v>
          </cell>
          <cell r="E7">
            <v>0</v>
          </cell>
        </row>
        <row r="8">
          <cell r="A8">
            <v>87149620002</v>
          </cell>
          <cell r="B8" t="str">
            <v>曲柄齒輪及其零件</v>
          </cell>
          <cell r="C8">
            <v>14154716</v>
          </cell>
          <cell r="D8">
            <v>473808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7724404</v>
          </cell>
          <cell r="D9">
            <v>171698</v>
          </cell>
          <cell r="E9">
            <v>0</v>
          </cell>
        </row>
        <row r="10">
          <cell r="A10">
            <v>87149320906</v>
          </cell>
          <cell r="B10" t="str">
            <v>其他飛輪之鏈輪</v>
          </cell>
          <cell r="C10">
            <v>6053986</v>
          </cell>
          <cell r="D10">
            <v>191041</v>
          </cell>
          <cell r="E10">
            <v>0</v>
          </cell>
        </row>
        <row r="11">
          <cell r="A11">
            <v>87149990157</v>
          </cell>
          <cell r="B11" t="str">
            <v>腳踏車用座管及上下管</v>
          </cell>
          <cell r="C11">
            <v>4388184</v>
          </cell>
          <cell r="D11">
            <v>153651</v>
          </cell>
          <cell r="E11">
            <v>0</v>
          </cell>
        </row>
        <row r="12">
          <cell r="A12">
            <v>87149500007</v>
          </cell>
          <cell r="B12" t="str">
            <v>腳踏車車座</v>
          </cell>
          <cell r="C12">
            <v>4134221</v>
          </cell>
          <cell r="D12">
            <v>273048</v>
          </cell>
          <cell r="E12">
            <v>0</v>
          </cell>
        </row>
        <row r="13">
          <cell r="A13">
            <v>87149200304</v>
          </cell>
          <cell r="B13" t="str">
            <v>輪圈及輪幅</v>
          </cell>
          <cell r="C13">
            <v>3137046</v>
          </cell>
          <cell r="D13">
            <v>58716</v>
          </cell>
          <cell r="E13">
            <v>331395</v>
          </cell>
        </row>
        <row r="14">
          <cell r="A14">
            <v>87149320103</v>
          </cell>
          <cell r="B14" t="str">
            <v>裝有棘輪機構之單一鏈輪　</v>
          </cell>
          <cell r="C14">
            <v>2763078</v>
          </cell>
          <cell r="D14">
            <v>51393</v>
          </cell>
          <cell r="E14">
            <v>0</v>
          </cell>
        </row>
        <row r="15">
          <cell r="A15">
            <v>87149200206</v>
          </cell>
          <cell r="B15" t="str">
            <v>輪幅</v>
          </cell>
          <cell r="C15">
            <v>2743571</v>
          </cell>
          <cell r="D15">
            <v>42406</v>
          </cell>
          <cell r="E15">
            <v>7855604</v>
          </cell>
        </row>
        <row r="16">
          <cell r="A16">
            <v>87149990148</v>
          </cell>
          <cell r="B16" t="str">
            <v>腳踏車用把手豎管</v>
          </cell>
          <cell r="C16">
            <v>1760648</v>
          </cell>
          <cell r="D16">
            <v>71368</v>
          </cell>
          <cell r="E16">
            <v>0</v>
          </cell>
        </row>
        <row r="17">
          <cell r="A17">
            <v>87149410006</v>
          </cell>
          <cell r="B17" t="str">
            <v>鋼?煞車器及其零件</v>
          </cell>
          <cell r="C17">
            <v>1226629</v>
          </cell>
          <cell r="D17">
            <v>29888</v>
          </cell>
          <cell r="E17">
            <v>0</v>
          </cell>
        </row>
        <row r="18">
          <cell r="A18">
            <v>87149610004</v>
          </cell>
          <cell r="B18" t="str">
            <v>踏板及其零件</v>
          </cell>
          <cell r="C18">
            <v>1077435</v>
          </cell>
          <cell r="D18">
            <v>102415</v>
          </cell>
          <cell r="E18">
            <v>0</v>
          </cell>
        </row>
        <row r="19">
          <cell r="A19">
            <v>87149990139</v>
          </cell>
          <cell r="B19" t="str">
            <v>腳踏車用軸心</v>
          </cell>
          <cell r="C19">
            <v>587037</v>
          </cell>
          <cell r="D19">
            <v>41492</v>
          </cell>
          <cell r="E1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2023年01至04月
出口金額($US)</v>
          </cell>
          <cell r="C2" t="str">
            <v>2023年01至04月
出口數量</v>
          </cell>
        </row>
        <row r="3">
          <cell r="A3" t="str">
            <v>總計</v>
          </cell>
          <cell r="B3">
            <v>509815025</v>
          </cell>
          <cell r="C3">
            <v>545462</v>
          </cell>
        </row>
        <row r="4">
          <cell r="A4" t="str">
            <v>美國</v>
          </cell>
          <cell r="B4">
            <v>176804787</v>
          </cell>
          <cell r="C4">
            <v>176764</v>
          </cell>
        </row>
        <row r="5">
          <cell r="A5" t="str">
            <v>荷蘭</v>
          </cell>
          <cell r="B5">
            <v>64500550</v>
          </cell>
          <cell r="C5">
            <v>53965</v>
          </cell>
        </row>
        <row r="6">
          <cell r="A6" t="str">
            <v>中國大陸</v>
          </cell>
          <cell r="B6">
            <v>37410336</v>
          </cell>
          <cell r="C6">
            <v>50722</v>
          </cell>
        </row>
        <row r="7">
          <cell r="A7" t="str">
            <v>澳大利亞</v>
          </cell>
          <cell r="B7">
            <v>26706765</v>
          </cell>
          <cell r="C7">
            <v>18337</v>
          </cell>
        </row>
        <row r="8">
          <cell r="A8" t="str">
            <v>英國</v>
          </cell>
          <cell r="B8">
            <v>26274930</v>
          </cell>
          <cell r="C8">
            <v>32430</v>
          </cell>
        </row>
        <row r="9">
          <cell r="A9" t="str">
            <v>加拿大</v>
          </cell>
          <cell r="B9">
            <v>21577504</v>
          </cell>
          <cell r="C9">
            <v>17622</v>
          </cell>
        </row>
        <row r="10">
          <cell r="A10" t="str">
            <v>德國</v>
          </cell>
          <cell r="B10">
            <v>20856350</v>
          </cell>
          <cell r="C10">
            <v>41486</v>
          </cell>
        </row>
        <row r="11">
          <cell r="A11" t="str">
            <v>日本</v>
          </cell>
          <cell r="B11">
            <v>15021038</v>
          </cell>
          <cell r="C11">
            <v>17949</v>
          </cell>
        </row>
        <row r="12">
          <cell r="A12" t="str">
            <v>法國</v>
          </cell>
          <cell r="B12">
            <v>14194946</v>
          </cell>
          <cell r="C12">
            <v>16264</v>
          </cell>
        </row>
        <row r="13">
          <cell r="A13" t="str">
            <v>南韓</v>
          </cell>
          <cell r="B13">
            <v>13509009</v>
          </cell>
          <cell r="C13">
            <v>12216</v>
          </cell>
        </row>
        <row r="14">
          <cell r="A14" t="str">
            <v>比利時</v>
          </cell>
          <cell r="B14">
            <v>12272384</v>
          </cell>
          <cell r="C14">
            <v>8975</v>
          </cell>
        </row>
        <row r="15">
          <cell r="A15" t="str">
            <v>義大利</v>
          </cell>
          <cell r="B15">
            <v>8430472</v>
          </cell>
          <cell r="C15">
            <v>5068</v>
          </cell>
        </row>
        <row r="16">
          <cell r="A16" t="str">
            <v>瑞士</v>
          </cell>
          <cell r="B16">
            <v>6306270</v>
          </cell>
          <cell r="C16">
            <v>4738</v>
          </cell>
        </row>
        <row r="17">
          <cell r="A17" t="str">
            <v>西班牙</v>
          </cell>
          <cell r="B17">
            <v>5614376</v>
          </cell>
          <cell r="C17">
            <v>5989</v>
          </cell>
        </row>
        <row r="18">
          <cell r="A18" t="str">
            <v>墨西哥</v>
          </cell>
          <cell r="B18">
            <v>5389511</v>
          </cell>
          <cell r="C18">
            <v>3944</v>
          </cell>
        </row>
        <row r="19">
          <cell r="A19" t="str">
            <v>紐西蘭</v>
          </cell>
          <cell r="B19">
            <v>5185015</v>
          </cell>
          <cell r="C19">
            <v>3445</v>
          </cell>
        </row>
        <row r="20">
          <cell r="A20" t="str">
            <v>挪威</v>
          </cell>
          <cell r="B20">
            <v>4925914</v>
          </cell>
          <cell r="C20">
            <v>13239</v>
          </cell>
        </row>
        <row r="21">
          <cell r="A21" t="str">
            <v>巴拿馬</v>
          </cell>
          <cell r="B21">
            <v>3852297</v>
          </cell>
          <cell r="C21">
            <v>1858</v>
          </cell>
        </row>
        <row r="22">
          <cell r="A22" t="str">
            <v>哥倫比亞</v>
          </cell>
          <cell r="B22">
            <v>3337476</v>
          </cell>
          <cell r="C22">
            <v>2049</v>
          </cell>
        </row>
        <row r="23">
          <cell r="A23" t="str">
            <v>南非</v>
          </cell>
          <cell r="B23">
            <v>3307003</v>
          </cell>
          <cell r="C23">
            <v>1625</v>
          </cell>
        </row>
        <row r="24">
          <cell r="A24" t="str">
            <v>瑞典</v>
          </cell>
          <cell r="B24">
            <v>3254864</v>
          </cell>
          <cell r="C24">
            <v>17351</v>
          </cell>
        </row>
        <row r="25">
          <cell r="A25" t="str">
            <v>波蘭</v>
          </cell>
          <cell r="B25">
            <v>3102483</v>
          </cell>
          <cell r="C25">
            <v>5754</v>
          </cell>
        </row>
        <row r="26">
          <cell r="A26" t="str">
            <v>巴西</v>
          </cell>
          <cell r="B26">
            <v>2910303</v>
          </cell>
          <cell r="C26">
            <v>2006</v>
          </cell>
        </row>
        <row r="27">
          <cell r="A27" t="str">
            <v>智利</v>
          </cell>
          <cell r="B27">
            <v>2405553</v>
          </cell>
          <cell r="C27">
            <v>1525</v>
          </cell>
        </row>
        <row r="28">
          <cell r="A28" t="str">
            <v>新加坡</v>
          </cell>
          <cell r="B28">
            <v>2337846</v>
          </cell>
          <cell r="C28">
            <v>1554</v>
          </cell>
        </row>
        <row r="29">
          <cell r="A29" t="str">
            <v>以色列</v>
          </cell>
          <cell r="B29">
            <v>2112989</v>
          </cell>
          <cell r="C29">
            <v>1881</v>
          </cell>
        </row>
        <row r="30">
          <cell r="A30" t="str">
            <v>丹麥</v>
          </cell>
          <cell r="B30">
            <v>1877303</v>
          </cell>
          <cell r="C30">
            <v>4683</v>
          </cell>
        </row>
        <row r="31">
          <cell r="A31" t="str">
            <v>香港</v>
          </cell>
          <cell r="B31">
            <v>1871029</v>
          </cell>
          <cell r="C31">
            <v>1989</v>
          </cell>
        </row>
        <row r="32">
          <cell r="A32" t="str">
            <v>捷克</v>
          </cell>
          <cell r="B32">
            <v>1848804</v>
          </cell>
          <cell r="C32">
            <v>3984</v>
          </cell>
        </row>
        <row r="33">
          <cell r="A33" t="str">
            <v>馬來西亞</v>
          </cell>
          <cell r="B33">
            <v>1236709</v>
          </cell>
          <cell r="C33">
            <v>686</v>
          </cell>
        </row>
        <row r="34">
          <cell r="A34" t="str">
            <v>秘魯</v>
          </cell>
          <cell r="B34">
            <v>1131791</v>
          </cell>
          <cell r="C34">
            <v>559</v>
          </cell>
        </row>
        <row r="35">
          <cell r="A35" t="str">
            <v>泰國</v>
          </cell>
          <cell r="B35">
            <v>968933</v>
          </cell>
          <cell r="C35">
            <v>1278</v>
          </cell>
        </row>
        <row r="36">
          <cell r="A36" t="str">
            <v>阿拉伯聯合大公國</v>
          </cell>
          <cell r="B36">
            <v>916458</v>
          </cell>
          <cell r="C36">
            <v>883</v>
          </cell>
        </row>
        <row r="37">
          <cell r="A37" t="str">
            <v>菲律賓</v>
          </cell>
          <cell r="B37">
            <v>809730</v>
          </cell>
          <cell r="C37">
            <v>1263</v>
          </cell>
        </row>
        <row r="38">
          <cell r="A38" t="str">
            <v>哥斯大黎加</v>
          </cell>
          <cell r="B38">
            <v>774730</v>
          </cell>
          <cell r="C38">
            <v>740</v>
          </cell>
        </row>
        <row r="39">
          <cell r="A39" t="str">
            <v>印度</v>
          </cell>
          <cell r="B39">
            <v>694119</v>
          </cell>
          <cell r="C39">
            <v>1003</v>
          </cell>
        </row>
        <row r="40">
          <cell r="A40" t="str">
            <v>芬蘭</v>
          </cell>
          <cell r="B40">
            <v>691816</v>
          </cell>
          <cell r="C40">
            <v>1430</v>
          </cell>
        </row>
        <row r="41">
          <cell r="A41" t="str">
            <v>厄瓜多</v>
          </cell>
          <cell r="B41">
            <v>678873</v>
          </cell>
          <cell r="C41">
            <v>634</v>
          </cell>
        </row>
        <row r="42">
          <cell r="A42" t="str">
            <v>斯洛維尼亞</v>
          </cell>
          <cell r="B42">
            <v>511671</v>
          </cell>
          <cell r="C42">
            <v>537</v>
          </cell>
        </row>
        <row r="43">
          <cell r="A43" t="str">
            <v>阿根廷</v>
          </cell>
          <cell r="B43">
            <v>474565</v>
          </cell>
          <cell r="C43">
            <v>317</v>
          </cell>
        </row>
        <row r="44">
          <cell r="A44" t="str">
            <v>俄羅斯</v>
          </cell>
          <cell r="B44">
            <v>455264</v>
          </cell>
          <cell r="C44">
            <v>1012</v>
          </cell>
        </row>
        <row r="45">
          <cell r="A45" t="str">
            <v>匈牙利</v>
          </cell>
          <cell r="B45">
            <v>390973</v>
          </cell>
          <cell r="C45">
            <v>787</v>
          </cell>
        </row>
        <row r="46">
          <cell r="A46" t="str">
            <v>愛沙尼亞</v>
          </cell>
          <cell r="B46">
            <v>299048</v>
          </cell>
          <cell r="C46">
            <v>697</v>
          </cell>
        </row>
        <row r="47">
          <cell r="A47" t="str">
            <v>烏拉圭</v>
          </cell>
          <cell r="B47">
            <v>276469</v>
          </cell>
          <cell r="C47">
            <v>217</v>
          </cell>
        </row>
        <row r="48">
          <cell r="A48" t="str">
            <v>希臘</v>
          </cell>
          <cell r="B48">
            <v>274590</v>
          </cell>
          <cell r="C48">
            <v>1173</v>
          </cell>
        </row>
        <row r="49">
          <cell r="A49" t="str">
            <v>瓜地馬拉</v>
          </cell>
          <cell r="B49">
            <v>262159</v>
          </cell>
          <cell r="C49">
            <v>194</v>
          </cell>
        </row>
        <row r="50">
          <cell r="A50" t="str">
            <v>越南</v>
          </cell>
          <cell r="B50">
            <v>219836</v>
          </cell>
          <cell r="C50">
            <v>136</v>
          </cell>
        </row>
        <row r="51">
          <cell r="A51" t="str">
            <v>多明尼加</v>
          </cell>
          <cell r="B51">
            <v>184149</v>
          </cell>
          <cell r="C51">
            <v>124</v>
          </cell>
        </row>
        <row r="52">
          <cell r="A52" t="str">
            <v>印尼</v>
          </cell>
          <cell r="B52">
            <v>183137</v>
          </cell>
          <cell r="C52">
            <v>58</v>
          </cell>
        </row>
        <row r="53">
          <cell r="A53" t="str">
            <v>薩爾瓦多</v>
          </cell>
          <cell r="B53">
            <v>158479</v>
          </cell>
          <cell r="C53">
            <v>149</v>
          </cell>
        </row>
        <row r="54">
          <cell r="A54" t="str">
            <v>奧地利</v>
          </cell>
          <cell r="B54">
            <v>133350</v>
          </cell>
          <cell r="C54">
            <v>62</v>
          </cell>
        </row>
        <row r="55">
          <cell r="A55" t="str">
            <v>葡萄牙</v>
          </cell>
          <cell r="B55">
            <v>110860</v>
          </cell>
          <cell r="C55">
            <v>50</v>
          </cell>
        </row>
        <row r="56">
          <cell r="A56" t="str">
            <v>哈薩克</v>
          </cell>
          <cell r="B56">
            <v>109231</v>
          </cell>
          <cell r="C56">
            <v>214</v>
          </cell>
        </row>
        <row r="57">
          <cell r="A57" t="str">
            <v>關島</v>
          </cell>
          <cell r="B57">
            <v>98155</v>
          </cell>
          <cell r="C57">
            <v>42</v>
          </cell>
        </row>
        <row r="58">
          <cell r="A58" t="str">
            <v>拉脫維亞</v>
          </cell>
          <cell r="B58">
            <v>84494</v>
          </cell>
          <cell r="C58">
            <v>263</v>
          </cell>
        </row>
        <row r="59">
          <cell r="A59" t="str">
            <v>蒙古</v>
          </cell>
          <cell r="B59">
            <v>67418</v>
          </cell>
          <cell r="C59">
            <v>61</v>
          </cell>
        </row>
        <row r="60">
          <cell r="A60" t="str">
            <v>克羅埃西亞</v>
          </cell>
          <cell r="B60">
            <v>65785</v>
          </cell>
          <cell r="C60">
            <v>323</v>
          </cell>
        </row>
        <row r="61">
          <cell r="A61" t="str">
            <v>波多黎各</v>
          </cell>
          <cell r="B61">
            <v>51938</v>
          </cell>
          <cell r="C61">
            <v>220</v>
          </cell>
        </row>
        <row r="62">
          <cell r="A62" t="str">
            <v>冰島</v>
          </cell>
          <cell r="B62">
            <v>51782</v>
          </cell>
          <cell r="C62">
            <v>43</v>
          </cell>
        </row>
        <row r="63">
          <cell r="A63" t="str">
            <v>保加利亞</v>
          </cell>
          <cell r="B63">
            <v>48937</v>
          </cell>
          <cell r="C63">
            <v>325</v>
          </cell>
        </row>
        <row r="64">
          <cell r="A64" t="str">
            <v>立陶宛</v>
          </cell>
          <cell r="B64">
            <v>45446</v>
          </cell>
          <cell r="C64">
            <v>126</v>
          </cell>
        </row>
        <row r="65">
          <cell r="A65" t="str">
            <v>烏克蘭</v>
          </cell>
          <cell r="B65">
            <v>44021</v>
          </cell>
          <cell r="C65">
            <v>119</v>
          </cell>
        </row>
        <row r="66">
          <cell r="A66" t="str">
            <v>法屬玻里尼西亞</v>
          </cell>
          <cell r="B66">
            <v>26202</v>
          </cell>
          <cell r="C66">
            <v>175</v>
          </cell>
        </row>
        <row r="67">
          <cell r="A67" t="str">
            <v>沙烏地阿拉伯</v>
          </cell>
          <cell r="B67">
            <v>21288</v>
          </cell>
          <cell r="C67">
            <v>17</v>
          </cell>
        </row>
        <row r="68">
          <cell r="A68" t="str">
            <v>模里西斯</v>
          </cell>
          <cell r="B68">
            <v>16534</v>
          </cell>
          <cell r="C68">
            <v>5</v>
          </cell>
        </row>
        <row r="69">
          <cell r="A69" t="str">
            <v>汶萊</v>
          </cell>
          <cell r="B69">
            <v>11063</v>
          </cell>
          <cell r="C69">
            <v>7</v>
          </cell>
        </row>
        <row r="70">
          <cell r="A70" t="str">
            <v>卡達</v>
          </cell>
          <cell r="B70">
            <v>10831</v>
          </cell>
          <cell r="C70">
            <v>30</v>
          </cell>
        </row>
        <row r="71">
          <cell r="A71" t="str">
            <v>盧森堡</v>
          </cell>
          <cell r="B71">
            <v>7582</v>
          </cell>
          <cell r="C71">
            <v>2</v>
          </cell>
        </row>
        <row r="72">
          <cell r="A72" t="str">
            <v>東加</v>
          </cell>
          <cell r="B72">
            <v>6536</v>
          </cell>
          <cell r="C72">
            <v>60</v>
          </cell>
        </row>
        <row r="73">
          <cell r="A73" t="str">
            <v>新克里多亞</v>
          </cell>
          <cell r="B73">
            <v>6438</v>
          </cell>
          <cell r="C73">
            <v>2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出"/>
      <sheetName val="進"/>
      <sheetName val="進同"/>
      <sheetName val="出同"/>
    </sheetNames>
    <sheetDataSet>
      <sheetData sheetId="0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62407006</v>
          </cell>
          <cell r="F11">
            <v>966457</v>
          </cell>
          <cell r="G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18330997</v>
          </cell>
          <cell r="F12">
            <v>361912</v>
          </cell>
          <cell r="G12">
            <v>0</v>
          </cell>
        </row>
        <row r="13">
          <cell r="B13">
            <v>87149990111</v>
          </cell>
          <cell r="C13" t="str">
            <v>腳踏車用變速器</v>
          </cell>
          <cell r="D13" t="str">
            <v>Derailer of bicycles</v>
          </cell>
          <cell r="E13">
            <v>8182241</v>
          </cell>
          <cell r="F13">
            <v>76444</v>
          </cell>
          <cell r="G13">
            <v>0</v>
          </cell>
        </row>
        <row r="14">
          <cell r="B14">
            <v>87149320906</v>
          </cell>
          <cell r="C14" t="str">
            <v>其他飛輪之鏈輪</v>
          </cell>
          <cell r="D14" t="str">
            <v>Other free-wheel sprocket-wheels</v>
          </cell>
          <cell r="E14">
            <v>7608404</v>
          </cell>
          <cell r="F14">
            <v>171846</v>
          </cell>
          <cell r="G14">
            <v>0</v>
          </cell>
        </row>
        <row r="15">
          <cell r="B15">
            <v>87149620002</v>
          </cell>
          <cell r="C15" t="str">
            <v>曲柄齒輪及其零件</v>
          </cell>
          <cell r="D15" t="str">
            <v>Crank-gear and parts thereof</v>
          </cell>
          <cell r="E15">
            <v>7113018</v>
          </cell>
          <cell r="F15">
            <v>168311</v>
          </cell>
          <cell r="G15">
            <v>0</v>
          </cell>
        </row>
        <row r="16">
          <cell r="B16">
            <v>87149200304</v>
          </cell>
          <cell r="C16" t="str">
            <v>輪圈及輪幅</v>
          </cell>
          <cell r="D16" t="str">
            <v>Wheel rims and spokes</v>
          </cell>
          <cell r="E16">
            <v>6694441</v>
          </cell>
          <cell r="F16">
            <v>54477</v>
          </cell>
          <cell r="G16">
            <v>44081</v>
          </cell>
        </row>
        <row r="17">
          <cell r="B17">
            <v>87149990157</v>
          </cell>
          <cell r="C17" t="str">
            <v>腳踏車用座管及上下管</v>
          </cell>
          <cell r="D17" t="str">
            <v>Seat tube, top tube and down tube of bicycles</v>
          </cell>
          <cell r="E17">
            <v>6045216</v>
          </cell>
          <cell r="F17">
            <v>122139</v>
          </cell>
          <cell r="G17">
            <v>0</v>
          </cell>
        </row>
        <row r="18">
          <cell r="B18">
            <v>87149990166</v>
          </cell>
          <cell r="C18" t="str">
            <v>腳踏車用把手</v>
          </cell>
          <cell r="D18" t="str">
            <v>Handle-bar of bicycles</v>
          </cell>
          <cell r="E18">
            <v>4781712</v>
          </cell>
          <cell r="F18">
            <v>122468</v>
          </cell>
          <cell r="G18">
            <v>0</v>
          </cell>
        </row>
        <row r="19">
          <cell r="B19">
            <v>87149310007</v>
          </cell>
          <cell r="C19" t="str">
            <v>輪轂，但倒煞車輪轂及輪轂煞車除外</v>
          </cell>
          <cell r="D19" t="str">
            <v>Hubs, other than coaster braking hubs and hub brakes</v>
          </cell>
          <cell r="E19">
            <v>4704703</v>
          </cell>
          <cell r="F19">
            <v>75000</v>
          </cell>
          <cell r="G19">
            <v>0</v>
          </cell>
        </row>
        <row r="20">
          <cell r="B20">
            <v>87149610004</v>
          </cell>
          <cell r="C20" t="str">
            <v>踏板及其零件</v>
          </cell>
          <cell r="D20" t="str">
            <v>Pedals and parts thereof</v>
          </cell>
          <cell r="E20">
            <v>4212087</v>
          </cell>
          <cell r="F20">
            <v>176492</v>
          </cell>
          <cell r="G20">
            <v>0</v>
          </cell>
        </row>
        <row r="21">
          <cell r="B21">
            <v>87149200108</v>
          </cell>
          <cell r="C21" t="str">
            <v>輪圈</v>
          </cell>
          <cell r="D21" t="str">
            <v>Wheel rims</v>
          </cell>
          <cell r="E21">
            <v>3068759</v>
          </cell>
          <cell r="F21">
            <v>154976</v>
          </cell>
          <cell r="G21">
            <v>303152</v>
          </cell>
        </row>
        <row r="22">
          <cell r="B22">
            <v>87149500007</v>
          </cell>
          <cell r="C22" t="str">
            <v>腳踏車車座</v>
          </cell>
          <cell r="D22" t="str">
            <v>Saddles of cycles</v>
          </cell>
          <cell r="E22">
            <v>2584362</v>
          </cell>
          <cell r="F22">
            <v>81760</v>
          </cell>
          <cell r="G22">
            <v>0</v>
          </cell>
        </row>
        <row r="23">
          <cell r="B23">
            <v>87149990148</v>
          </cell>
          <cell r="C23" t="str">
            <v>腳踏車用把手豎管</v>
          </cell>
          <cell r="D23" t="str">
            <v>Handle-bar stems of bicycles</v>
          </cell>
          <cell r="E23">
            <v>2561877</v>
          </cell>
          <cell r="F23">
            <v>61302</v>
          </cell>
          <cell r="G23">
            <v>0</v>
          </cell>
        </row>
        <row r="24">
          <cell r="B24">
            <v>87149200206</v>
          </cell>
          <cell r="C24" t="str">
            <v>輪幅</v>
          </cell>
          <cell r="D24" t="str">
            <v>Wheel spokes</v>
          </cell>
          <cell r="E24">
            <v>687877</v>
          </cell>
          <cell r="F24">
            <v>61267</v>
          </cell>
          <cell r="G24">
            <v>9101456</v>
          </cell>
        </row>
        <row r="25">
          <cell r="B25">
            <v>87149990139</v>
          </cell>
          <cell r="C25" t="str">
            <v>腳踏車用軸心</v>
          </cell>
          <cell r="D25" t="str">
            <v>Axle of bicycles</v>
          </cell>
          <cell r="E25">
            <v>260916</v>
          </cell>
          <cell r="F25">
            <v>7835</v>
          </cell>
          <cell r="G25">
            <v>0</v>
          </cell>
        </row>
        <row r="26">
          <cell r="B26">
            <v>87149910001</v>
          </cell>
          <cell r="C26" t="str">
            <v>邊車零件</v>
          </cell>
          <cell r="D26" t="str">
            <v>Parts for side cars</v>
          </cell>
          <cell r="E26">
            <v>171943</v>
          </cell>
          <cell r="F26">
            <v>7916</v>
          </cell>
          <cell r="G26">
            <v>0</v>
          </cell>
        </row>
        <row r="27">
          <cell r="B27">
            <v>87149410006</v>
          </cell>
          <cell r="C27" t="str">
            <v>鋼?煞車器及其零件</v>
          </cell>
          <cell r="D27" t="str">
            <v>Caliper brake, and parts thereof</v>
          </cell>
          <cell r="E27">
            <v>167571</v>
          </cell>
          <cell r="F27">
            <v>6230</v>
          </cell>
          <cell r="G27">
            <v>0</v>
          </cell>
        </row>
        <row r="28">
          <cell r="B28">
            <v>87149420004</v>
          </cell>
          <cell r="C28" t="str">
            <v>倒煞車輪轂及其零件</v>
          </cell>
          <cell r="D28" t="str">
            <v>Coaster braking hub and parts thereof</v>
          </cell>
          <cell r="E28">
            <v>69228</v>
          </cell>
          <cell r="F28">
            <v>1788</v>
          </cell>
          <cell r="G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64988</v>
          </cell>
          <cell r="F29">
            <v>2229</v>
          </cell>
          <cell r="G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37728</v>
          </cell>
          <cell r="F30">
            <v>1134</v>
          </cell>
          <cell r="G30">
            <v>0</v>
          </cell>
        </row>
        <row r="31">
          <cell r="B31">
            <v>85121020009</v>
          </cell>
          <cell r="C31" t="str">
            <v>腳踏車用視覺信號設備</v>
          </cell>
          <cell r="D31" t="str">
            <v>Electrical visual signalling equipment of a kind use on bicycles</v>
          </cell>
          <cell r="E31">
            <v>671779</v>
          </cell>
          <cell r="F31">
            <v>3688</v>
          </cell>
          <cell r="G31">
            <v>49549</v>
          </cell>
        </row>
        <row r="32">
          <cell r="B32">
            <v>85121010001</v>
          </cell>
          <cell r="C32" t="str">
            <v>腳踏車用電氣照明設備</v>
          </cell>
          <cell r="D32" t="str">
            <v>Electrical lighting equipment of a kind used on bicycles</v>
          </cell>
          <cell r="E32">
            <v>444982</v>
          </cell>
          <cell r="F32">
            <v>3510</v>
          </cell>
          <cell r="G32">
            <v>42182</v>
          </cell>
        </row>
        <row r="33">
          <cell r="B33">
            <v>73151100209</v>
          </cell>
          <cell r="C33" t="str">
            <v>腳踏車用滾子鏈</v>
          </cell>
          <cell r="D33" t="str">
            <v>Roller chain of bicycles</v>
          </cell>
          <cell r="E33">
            <v>3895232</v>
          </cell>
          <cell r="F33">
            <v>130234</v>
          </cell>
          <cell r="G33">
            <v>0</v>
          </cell>
        </row>
        <row r="34">
          <cell r="B34">
            <v>40115000008</v>
          </cell>
          <cell r="C34" t="str">
            <v>新橡膠氣胎，腳踏車用</v>
          </cell>
          <cell r="D34" t="str">
            <v>New pneumatic tyres, of rubber, of a kind used on bicycles</v>
          </cell>
          <cell r="E34">
            <v>8293078</v>
          </cell>
          <cell r="F34">
            <v>477531</v>
          </cell>
          <cell r="G34">
            <v>622288</v>
          </cell>
        </row>
        <row r="35">
          <cell r="B35">
            <v>40132000003</v>
          </cell>
          <cell r="C35" t="str">
            <v>橡膠內胎，腳踏車用</v>
          </cell>
          <cell r="D35" t="str">
            <v>Inner tubes, of rubber, of a kind used on bicycles</v>
          </cell>
          <cell r="E35">
            <v>555478</v>
          </cell>
          <cell r="F35">
            <v>55881</v>
          </cell>
          <cell r="G35">
            <v>303108</v>
          </cell>
        </row>
      </sheetData>
      <sheetData sheetId="1"/>
      <sheetData sheetId="2"/>
      <sheetData sheetId="3">
        <row r="11">
          <cell r="B11">
            <v>87149120007</v>
          </cell>
          <cell r="C11" t="str">
            <v>其他車架及叉及其零件</v>
          </cell>
          <cell r="D11" t="str">
            <v>Other frames and forks, and parts thereof</v>
          </cell>
          <cell r="E11">
            <v>161464692</v>
          </cell>
          <cell r="F11">
            <v>146393161</v>
          </cell>
          <cell r="G11">
            <v>3019272</v>
          </cell>
          <cell r="H11">
            <v>2334352</v>
          </cell>
          <cell r="I11">
            <v>0</v>
          </cell>
          <cell r="J11">
            <v>0</v>
          </cell>
        </row>
        <row r="12">
          <cell r="B12">
            <v>87149490009</v>
          </cell>
          <cell r="C12" t="str">
            <v>其他煞車器及其零件</v>
          </cell>
          <cell r="D12" t="str">
            <v>Other brakes and parts thereof</v>
          </cell>
          <cell r="E12">
            <v>67855006</v>
          </cell>
          <cell r="F12">
            <v>41443682</v>
          </cell>
          <cell r="G12">
            <v>1789803</v>
          </cell>
          <cell r="H12">
            <v>847666</v>
          </cell>
          <cell r="I12">
            <v>0</v>
          </cell>
          <cell r="J12">
            <v>0</v>
          </cell>
        </row>
        <row r="13">
          <cell r="B13">
            <v>87149320906</v>
          </cell>
          <cell r="C13" t="str">
            <v>其他飛輪之鏈輪</v>
          </cell>
          <cell r="D13" t="str">
            <v>Other free-wheel sprocket-wheels</v>
          </cell>
          <cell r="E13">
            <v>0</v>
          </cell>
          <cell r="F13">
            <v>22038308</v>
          </cell>
          <cell r="G13">
            <v>0</v>
          </cell>
          <cell r="H13">
            <v>459018</v>
          </cell>
          <cell r="I13">
            <v>0</v>
          </cell>
          <cell r="J13">
            <v>0</v>
          </cell>
        </row>
        <row r="14">
          <cell r="B14">
            <v>87149990111</v>
          </cell>
          <cell r="C14" t="str">
            <v>腳踏車用變速器</v>
          </cell>
          <cell r="D14" t="str">
            <v>Derailer of bicycles</v>
          </cell>
          <cell r="E14">
            <v>26711033</v>
          </cell>
          <cell r="F14">
            <v>19689724</v>
          </cell>
          <cell r="G14">
            <v>341579</v>
          </cell>
          <cell r="H14">
            <v>188903</v>
          </cell>
          <cell r="I14">
            <v>0</v>
          </cell>
          <cell r="J14">
            <v>0</v>
          </cell>
        </row>
        <row r="15">
          <cell r="B15">
            <v>87149200304</v>
          </cell>
          <cell r="C15" t="str">
            <v>輪圈及輪幅</v>
          </cell>
          <cell r="D15" t="str">
            <v>Wheel rims and spokes</v>
          </cell>
          <cell r="E15">
            <v>14154547</v>
          </cell>
          <cell r="F15">
            <v>18993100</v>
          </cell>
          <cell r="G15">
            <v>171676</v>
          </cell>
          <cell r="H15">
            <v>166204</v>
          </cell>
          <cell r="I15">
            <v>148749</v>
          </cell>
          <cell r="J15">
            <v>124033</v>
          </cell>
        </row>
        <row r="16">
          <cell r="B16">
            <v>87149620002</v>
          </cell>
          <cell r="C16" t="str">
            <v>曲柄齒輪及其零件</v>
          </cell>
          <cell r="D16" t="str">
            <v>Crank-gear and parts thereof</v>
          </cell>
          <cell r="E16">
            <v>27240997</v>
          </cell>
          <cell r="F16">
            <v>17755936</v>
          </cell>
          <cell r="G16">
            <v>776419</v>
          </cell>
          <cell r="H16">
            <v>365711</v>
          </cell>
          <cell r="I16">
            <v>0</v>
          </cell>
          <cell r="J16">
            <v>0</v>
          </cell>
        </row>
        <row r="17">
          <cell r="B17">
            <v>87149990157</v>
          </cell>
          <cell r="C17" t="str">
            <v>腳踏車用座管及上下管</v>
          </cell>
          <cell r="D17" t="str">
            <v>Seat tube, top tube and down tube of bicycles</v>
          </cell>
          <cell r="E17">
            <v>15640420</v>
          </cell>
          <cell r="F17">
            <v>13547009</v>
          </cell>
          <cell r="G17">
            <v>381741</v>
          </cell>
          <cell r="H17">
            <v>307803</v>
          </cell>
          <cell r="I17">
            <v>0</v>
          </cell>
          <cell r="J17">
            <v>0</v>
          </cell>
        </row>
        <row r="18">
          <cell r="B18">
            <v>87149610004</v>
          </cell>
          <cell r="C18" t="str">
            <v>踏板及其零件</v>
          </cell>
          <cell r="D18" t="str">
            <v>Pedals and parts thereof</v>
          </cell>
          <cell r="E18">
            <v>16530496</v>
          </cell>
          <cell r="F18">
            <v>10689254</v>
          </cell>
          <cell r="G18">
            <v>780858</v>
          </cell>
          <cell r="H18">
            <v>446012</v>
          </cell>
          <cell r="I18">
            <v>0</v>
          </cell>
          <cell r="J18">
            <v>0</v>
          </cell>
        </row>
        <row r="19">
          <cell r="B19">
            <v>87149990166</v>
          </cell>
          <cell r="C19" t="str">
            <v>腳踏車用把手</v>
          </cell>
          <cell r="D19" t="str">
            <v>Handle-bar of bicycles</v>
          </cell>
          <cell r="E19">
            <v>12932653</v>
          </cell>
          <cell r="F19">
            <v>10591689</v>
          </cell>
          <cell r="G19">
            <v>444317</v>
          </cell>
          <cell r="H19">
            <v>296811</v>
          </cell>
          <cell r="I19">
            <v>0</v>
          </cell>
          <cell r="J19">
            <v>0</v>
          </cell>
        </row>
        <row r="20">
          <cell r="B20">
            <v>87149310007</v>
          </cell>
          <cell r="C20" t="str">
            <v>輪轂，但倒煞車輪轂及輪轂煞車除外</v>
          </cell>
          <cell r="D20" t="str">
            <v>Hubs, other than coaster braking hubs and hub brakes</v>
          </cell>
          <cell r="E20">
            <v>13614595</v>
          </cell>
          <cell r="F20">
            <v>10068226</v>
          </cell>
          <cell r="G20">
            <v>260215</v>
          </cell>
          <cell r="H20">
            <v>190291</v>
          </cell>
          <cell r="I20">
            <v>0</v>
          </cell>
          <cell r="J20">
            <v>0</v>
          </cell>
        </row>
        <row r="21">
          <cell r="B21">
            <v>87149500007</v>
          </cell>
          <cell r="C21" t="str">
            <v>腳踏車車座</v>
          </cell>
          <cell r="D21" t="str">
            <v>Saddles of cycles</v>
          </cell>
          <cell r="E21">
            <v>9157225</v>
          </cell>
          <cell r="F21">
            <v>6832528</v>
          </cell>
          <cell r="G21">
            <v>480106</v>
          </cell>
          <cell r="H21">
            <v>249846</v>
          </cell>
          <cell r="I21">
            <v>0</v>
          </cell>
          <cell r="J21">
            <v>0</v>
          </cell>
        </row>
        <row r="22">
          <cell r="B22">
            <v>87149200108</v>
          </cell>
          <cell r="C22" t="str">
            <v>輪圈</v>
          </cell>
          <cell r="D22" t="str">
            <v>Wheel rims</v>
          </cell>
          <cell r="E22">
            <v>8844504</v>
          </cell>
          <cell r="F22">
            <v>6340391</v>
          </cell>
          <cell r="G22">
            <v>449594</v>
          </cell>
          <cell r="H22">
            <v>307699</v>
          </cell>
          <cell r="I22">
            <v>826305</v>
          </cell>
          <cell r="J22">
            <v>588746</v>
          </cell>
        </row>
        <row r="23">
          <cell r="B23">
            <v>87149990148</v>
          </cell>
          <cell r="C23" t="str">
            <v>腳踏車用把手豎管</v>
          </cell>
          <cell r="D23" t="str">
            <v>Handle-bar stems of bicycles</v>
          </cell>
          <cell r="E23">
            <v>8920699</v>
          </cell>
          <cell r="F23">
            <v>5977029</v>
          </cell>
          <cell r="G23">
            <v>295087</v>
          </cell>
          <cell r="H23">
            <v>158919</v>
          </cell>
          <cell r="I23">
            <v>0</v>
          </cell>
          <cell r="J23">
            <v>0</v>
          </cell>
        </row>
        <row r="24">
          <cell r="B24">
            <v>87149200206</v>
          </cell>
          <cell r="C24" t="str">
            <v>輪幅</v>
          </cell>
          <cell r="D24" t="str">
            <v>Wheel spokes</v>
          </cell>
          <cell r="E24">
            <v>3756513</v>
          </cell>
          <cell r="F24">
            <v>1428657</v>
          </cell>
          <cell r="G24">
            <v>433410</v>
          </cell>
          <cell r="H24">
            <v>118615</v>
          </cell>
          <cell r="I24">
            <v>60216258</v>
          </cell>
          <cell r="J24">
            <v>16217588</v>
          </cell>
        </row>
        <row r="25">
          <cell r="B25">
            <v>87149410006</v>
          </cell>
          <cell r="C25" t="str">
            <v>鋼?煞車器及其零件</v>
          </cell>
          <cell r="D25" t="str">
            <v>Caliper brake, and parts thereof</v>
          </cell>
          <cell r="E25">
            <v>1653645</v>
          </cell>
          <cell r="F25">
            <v>1075086</v>
          </cell>
          <cell r="G25">
            <v>68425</v>
          </cell>
          <cell r="H25">
            <v>40906</v>
          </cell>
          <cell r="I25">
            <v>0</v>
          </cell>
          <cell r="J25">
            <v>0</v>
          </cell>
        </row>
        <row r="26">
          <cell r="B26">
            <v>87149420004</v>
          </cell>
          <cell r="C26" t="str">
            <v>倒煞車輪轂及其零件</v>
          </cell>
          <cell r="D26" t="str">
            <v>Coaster braking hub and parts thereof</v>
          </cell>
          <cell r="E26">
            <v>222885</v>
          </cell>
          <cell r="F26">
            <v>721776</v>
          </cell>
          <cell r="G26">
            <v>23992</v>
          </cell>
          <cell r="H26">
            <v>12503</v>
          </cell>
          <cell r="I26">
            <v>0</v>
          </cell>
          <cell r="J26">
            <v>0</v>
          </cell>
        </row>
        <row r="27">
          <cell r="B27">
            <v>87149990139</v>
          </cell>
          <cell r="C27" t="str">
            <v>腳踏車用軸心</v>
          </cell>
          <cell r="D27" t="str">
            <v>Axle of bicycles</v>
          </cell>
          <cell r="E27">
            <v>1061568</v>
          </cell>
          <cell r="F27">
            <v>630165</v>
          </cell>
          <cell r="G27">
            <v>53134</v>
          </cell>
          <cell r="H27">
            <v>27789</v>
          </cell>
          <cell r="I27">
            <v>0</v>
          </cell>
          <cell r="J27">
            <v>0</v>
          </cell>
        </row>
        <row r="28">
          <cell r="B28">
            <v>87149910001</v>
          </cell>
          <cell r="C28" t="str">
            <v>邊車零件</v>
          </cell>
          <cell r="D28" t="str">
            <v>Parts for side cars</v>
          </cell>
          <cell r="E28">
            <v>607935</v>
          </cell>
          <cell r="F28">
            <v>357727</v>
          </cell>
          <cell r="G28">
            <v>32710</v>
          </cell>
          <cell r="H28">
            <v>25022</v>
          </cell>
          <cell r="I28">
            <v>0</v>
          </cell>
          <cell r="J28">
            <v>0</v>
          </cell>
        </row>
        <row r="29">
          <cell r="B29">
            <v>87149920009</v>
          </cell>
          <cell r="C29" t="str">
            <v>車輛用反光片、帶</v>
          </cell>
          <cell r="D29" t="str">
            <v>Reflective sheets and bands, suitable for vehicles use</v>
          </cell>
          <cell r="E29">
            <v>443998</v>
          </cell>
          <cell r="F29">
            <v>211493</v>
          </cell>
          <cell r="G29">
            <v>20523</v>
          </cell>
          <cell r="H29">
            <v>12117</v>
          </cell>
          <cell r="I29">
            <v>0</v>
          </cell>
          <cell r="J29">
            <v>0</v>
          </cell>
        </row>
        <row r="30">
          <cell r="B30">
            <v>87149320103</v>
          </cell>
          <cell r="C30" t="str">
            <v>裝有棘輪機構之單一鏈輪　</v>
          </cell>
          <cell r="D30" t="str">
            <v>Single sprocket-wheel, fitted with ratchet mechanism</v>
          </cell>
          <cell r="E30">
            <v>0</v>
          </cell>
          <cell r="F30">
            <v>150113</v>
          </cell>
          <cell r="G30">
            <v>0</v>
          </cell>
          <cell r="H30">
            <v>4036</v>
          </cell>
          <cell r="I30">
            <v>0</v>
          </cell>
          <cell r="J30">
            <v>0</v>
          </cell>
        </row>
        <row r="31">
          <cell r="B31">
            <v>87149320005</v>
          </cell>
          <cell r="C31" t="str">
            <v>飛輪之鏈輪</v>
          </cell>
          <cell r="D31" t="str">
            <v>Free-wheel sprocket-wheels</v>
          </cell>
          <cell r="E31">
            <v>21081807</v>
          </cell>
          <cell r="F31">
            <v>0</v>
          </cell>
          <cell r="G31">
            <v>564289</v>
          </cell>
          <cell r="H31">
            <v>0</v>
          </cell>
          <cell r="I31">
            <v>0</v>
          </cell>
          <cell r="J31">
            <v>0</v>
          </cell>
        </row>
        <row r="32">
          <cell r="B32">
            <v>87149990120</v>
          </cell>
          <cell r="C32" t="str">
            <v>腳踏車用飛輪</v>
          </cell>
          <cell r="D32" t="str">
            <v>Free wheel of bicycles</v>
          </cell>
          <cell r="E32">
            <v>4558568</v>
          </cell>
          <cell r="F32">
            <v>0</v>
          </cell>
          <cell r="G32">
            <v>179676</v>
          </cell>
          <cell r="H32">
            <v>0</v>
          </cell>
          <cell r="I32">
            <v>0</v>
          </cell>
          <cell r="J32">
            <v>0</v>
          </cell>
        </row>
        <row r="33">
          <cell r="B33">
            <v>85121010001</v>
          </cell>
          <cell r="C33" t="str">
            <v>腳踏車用電氣照明設備</v>
          </cell>
          <cell r="D33" t="str">
            <v>Electrical lighting equipment of a kind used on bicycles</v>
          </cell>
          <cell r="E33">
            <v>4718262</v>
          </cell>
          <cell r="F33">
            <v>2031581</v>
          </cell>
          <cell r="G33">
            <v>39628</v>
          </cell>
          <cell r="H33">
            <v>16206</v>
          </cell>
          <cell r="I33">
            <v>378818</v>
          </cell>
          <cell r="J33">
            <v>125842</v>
          </cell>
        </row>
        <row r="34">
          <cell r="B34">
            <v>85121020009</v>
          </cell>
          <cell r="C34" t="str">
            <v>腳踏車用視覺信號設備</v>
          </cell>
          <cell r="D34" t="str">
            <v>Electrical visual signalling equipment of a kind use on bicycles</v>
          </cell>
          <cell r="E34">
            <v>1972360</v>
          </cell>
          <cell r="F34">
            <v>1810994</v>
          </cell>
          <cell r="G34">
            <v>14205</v>
          </cell>
          <cell r="H34">
            <v>9979</v>
          </cell>
          <cell r="I34">
            <v>123171</v>
          </cell>
          <cell r="J34">
            <v>119825</v>
          </cell>
        </row>
        <row r="35">
          <cell r="B35">
            <v>73151100209</v>
          </cell>
          <cell r="C35" t="str">
            <v>腳踏車用滾子鏈</v>
          </cell>
          <cell r="D35" t="str">
            <v>Roller chain of bicycles</v>
          </cell>
          <cell r="E35">
            <v>8716460</v>
          </cell>
          <cell r="F35">
            <v>7337582</v>
          </cell>
          <cell r="G35">
            <v>419114</v>
          </cell>
          <cell r="H35">
            <v>268277</v>
          </cell>
          <cell r="I35">
            <v>0</v>
          </cell>
          <cell r="J35">
            <v>0</v>
          </cell>
        </row>
        <row r="36">
          <cell r="B36">
            <v>40115000008</v>
          </cell>
          <cell r="C36" t="str">
            <v>新橡膠氣胎，腳踏車用</v>
          </cell>
          <cell r="D36" t="str">
            <v>New pneumatic tyres, of rubber, of a kind used on bicycles</v>
          </cell>
          <cell r="E36">
            <v>25624637</v>
          </cell>
          <cell r="F36">
            <v>17028731</v>
          </cell>
          <cell r="G36">
            <v>1521882</v>
          </cell>
          <cell r="H36">
            <v>949689</v>
          </cell>
          <cell r="I36">
            <v>2123210</v>
          </cell>
          <cell r="J36">
            <v>1257665</v>
          </cell>
        </row>
        <row r="37">
          <cell r="B37">
            <v>40132000003</v>
          </cell>
          <cell r="C37" t="str">
            <v>橡膠內胎，腳踏車用</v>
          </cell>
          <cell r="D37" t="str">
            <v>Inner tubes, of rubber, of a kind used on bicycles</v>
          </cell>
          <cell r="E37">
            <v>4184855</v>
          </cell>
          <cell r="F37">
            <v>1452598</v>
          </cell>
          <cell r="G37">
            <v>403901</v>
          </cell>
          <cell r="H37">
            <v>134530</v>
          </cell>
          <cell r="I37">
            <v>2112173</v>
          </cell>
          <cell r="J37">
            <v>747903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一全年進口類別合計驗算"/>
      <sheetName val="Sheet2(登會訊)"/>
      <sheetName val="二全年出口類別合計驗算"/>
      <sheetName val="主要進出口國家統計"/>
      <sheetName val="零件出口同期比較"/>
      <sheetName val="零件進口同期比較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1">
          <cell r="A1" t="str">
            <v>代碼</v>
          </cell>
          <cell r="B1" t="str">
            <v>中文名稱</v>
          </cell>
          <cell r="C1" t="str">
            <v>2022年01至04月
出口金額($US)</v>
          </cell>
          <cell r="D1" t="str">
            <v>2022年01至04月
出口重量(KG)</v>
          </cell>
          <cell r="E1" t="str">
            <v>2022年01至04月
出口數量</v>
          </cell>
        </row>
        <row r="2">
          <cell r="A2">
            <v>87149120007</v>
          </cell>
          <cell r="B2" t="str">
            <v>其他車架及叉及其零件</v>
          </cell>
          <cell r="C2">
            <v>359166345</v>
          </cell>
          <cell r="D2">
            <v>6677890</v>
          </cell>
          <cell r="E2">
            <v>0</v>
          </cell>
        </row>
        <row r="3">
          <cell r="A3">
            <v>87149490009</v>
          </cell>
          <cell r="B3" t="str">
            <v>其他煞車器及其零件</v>
          </cell>
          <cell r="C3">
            <v>149758123</v>
          </cell>
          <cell r="D3">
            <v>3762119</v>
          </cell>
          <cell r="E3">
            <v>0</v>
          </cell>
        </row>
        <row r="4">
          <cell r="A4">
            <v>87149620002</v>
          </cell>
          <cell r="B4" t="str">
            <v>曲柄齒輪及其零件</v>
          </cell>
          <cell r="C4">
            <v>59958462</v>
          </cell>
          <cell r="D4">
            <v>1554319</v>
          </cell>
          <cell r="E4">
            <v>0</v>
          </cell>
        </row>
        <row r="5">
          <cell r="A5">
            <v>87149990111</v>
          </cell>
          <cell r="B5" t="str">
            <v>腳踏車用變速器</v>
          </cell>
          <cell r="C5">
            <v>55673571</v>
          </cell>
          <cell r="D5">
            <v>725727</v>
          </cell>
          <cell r="E5">
            <v>0</v>
          </cell>
        </row>
        <row r="6">
          <cell r="A6" t="str">
            <v>87149320005</v>
          </cell>
          <cell r="B6" t="str">
            <v>飛輪之鏈輪</v>
          </cell>
          <cell r="C6">
            <v>44557685</v>
          </cell>
          <cell r="D6">
            <v>1078960</v>
          </cell>
          <cell r="E6">
            <v>0</v>
          </cell>
        </row>
        <row r="7">
          <cell r="A7">
            <v>87149610004</v>
          </cell>
          <cell r="B7" t="str">
            <v>踏板及其零件</v>
          </cell>
          <cell r="C7">
            <v>36359860</v>
          </cell>
          <cell r="D7">
            <v>1625370</v>
          </cell>
          <cell r="E7">
            <v>0</v>
          </cell>
        </row>
        <row r="8">
          <cell r="A8">
            <v>87149990157</v>
          </cell>
          <cell r="B8" t="str">
            <v>腳踏車用座管及上下管</v>
          </cell>
          <cell r="C8">
            <v>35338899</v>
          </cell>
          <cell r="D8">
            <v>850812</v>
          </cell>
          <cell r="E8">
            <v>0</v>
          </cell>
        </row>
        <row r="9">
          <cell r="A9">
            <v>87149200304</v>
          </cell>
          <cell r="B9" t="str">
            <v>輪圈及輪幅</v>
          </cell>
          <cell r="C9">
            <v>31803130</v>
          </cell>
          <cell r="D9">
            <v>385617</v>
          </cell>
          <cell r="E9">
            <v>290434</v>
          </cell>
        </row>
        <row r="10">
          <cell r="A10">
            <v>87149310007</v>
          </cell>
          <cell r="B10" t="str">
            <v>輪轂，但倒煞車輪轂及輪轂煞車除外</v>
          </cell>
          <cell r="C10">
            <v>28976445</v>
          </cell>
          <cell r="D10">
            <v>524312</v>
          </cell>
          <cell r="E10">
            <v>0</v>
          </cell>
        </row>
        <row r="11">
          <cell r="A11">
            <v>87149990166</v>
          </cell>
          <cell r="B11" t="str">
            <v>腳踏車用把手</v>
          </cell>
          <cell r="C11">
            <v>26064303</v>
          </cell>
          <cell r="D11">
            <v>896947</v>
          </cell>
          <cell r="E11">
            <v>0</v>
          </cell>
        </row>
        <row r="12">
          <cell r="A12">
            <v>87149500007</v>
          </cell>
          <cell r="B12" t="str">
            <v>腳踏車車座</v>
          </cell>
          <cell r="C12">
            <v>20461823</v>
          </cell>
          <cell r="D12">
            <v>982922</v>
          </cell>
          <cell r="E12">
            <v>0</v>
          </cell>
        </row>
        <row r="13">
          <cell r="A13">
            <v>87149200108</v>
          </cell>
          <cell r="B13" t="str">
            <v>輪圈</v>
          </cell>
          <cell r="C13">
            <v>18252749</v>
          </cell>
          <cell r="D13">
            <v>918422</v>
          </cell>
          <cell r="E13">
            <v>1668831</v>
          </cell>
        </row>
        <row r="14">
          <cell r="A14">
            <v>87149990148</v>
          </cell>
          <cell r="B14" t="str">
            <v>腳踏車用把手豎管</v>
          </cell>
          <cell r="C14">
            <v>16993548</v>
          </cell>
          <cell r="D14">
            <v>538560</v>
          </cell>
          <cell r="E14">
            <v>0</v>
          </cell>
        </row>
        <row r="15">
          <cell r="A15" t="str">
            <v>87149990120</v>
          </cell>
          <cell r="B15" t="str">
            <v>腳踏車用飛輪</v>
          </cell>
          <cell r="C15">
            <v>8946776</v>
          </cell>
          <cell r="D15">
            <v>324138</v>
          </cell>
          <cell r="E15">
            <v>0</v>
          </cell>
        </row>
        <row r="16">
          <cell r="A16">
            <v>87149200206</v>
          </cell>
          <cell r="B16" t="str">
            <v>輪幅</v>
          </cell>
          <cell r="C16">
            <v>7788344</v>
          </cell>
          <cell r="D16">
            <v>784659</v>
          </cell>
          <cell r="E16">
            <v>103630281</v>
          </cell>
        </row>
        <row r="17">
          <cell r="A17">
            <v>87149320906</v>
          </cell>
          <cell r="B17" t="str">
            <v>其他飛輪之鏈輪</v>
          </cell>
          <cell r="C17">
            <v>3760115</v>
          </cell>
          <cell r="D17">
            <v>115269</v>
          </cell>
          <cell r="E17">
            <v>0</v>
          </cell>
        </row>
        <row r="18">
          <cell r="A18">
            <v>87149410006</v>
          </cell>
          <cell r="B18" t="str">
            <v>鋼?煞車器及其零件</v>
          </cell>
          <cell r="C18">
            <v>3360042</v>
          </cell>
          <cell r="D18">
            <v>130925</v>
          </cell>
          <cell r="E18">
            <v>0</v>
          </cell>
        </row>
        <row r="19">
          <cell r="A19">
            <v>87149990139</v>
          </cell>
          <cell r="B19" t="str">
            <v>腳踏車用軸心</v>
          </cell>
          <cell r="C19">
            <v>2613443</v>
          </cell>
          <cell r="D19">
            <v>130697</v>
          </cell>
          <cell r="E19">
            <v>0</v>
          </cell>
        </row>
        <row r="20">
          <cell r="A20">
            <v>87149320103</v>
          </cell>
          <cell r="B20" t="str">
            <v>裝有棘輪機構之單一鏈輪　</v>
          </cell>
          <cell r="C20">
            <v>17077</v>
          </cell>
          <cell r="D20">
            <v>168</v>
          </cell>
          <cell r="E20">
            <v>0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代碼</v>
          </cell>
          <cell r="B2" t="str">
            <v>中文名稱</v>
          </cell>
          <cell r="C2" t="str">
            <v>2022年01至04月
進口金額($US)</v>
          </cell>
          <cell r="D2" t="str">
            <v>2022年01至04月
進口重量(KG)</v>
          </cell>
          <cell r="E2" t="str">
            <v>2022年01至04月
進口數量</v>
          </cell>
        </row>
        <row r="3">
          <cell r="A3">
            <v>87149120007</v>
          </cell>
          <cell r="B3" t="str">
            <v>其他車架及叉及其零件</v>
          </cell>
          <cell r="C3">
            <v>163949828</v>
          </cell>
          <cell r="D3">
            <v>3797291</v>
          </cell>
          <cell r="E3">
            <v>0</v>
          </cell>
        </row>
        <row r="4">
          <cell r="A4">
            <v>87149490009</v>
          </cell>
          <cell r="B4" t="str">
            <v>其他煞車器及其零件</v>
          </cell>
          <cell r="C4">
            <v>49104159</v>
          </cell>
          <cell r="D4">
            <v>1554926</v>
          </cell>
          <cell r="E4">
            <v>0</v>
          </cell>
        </row>
        <row r="5">
          <cell r="A5">
            <v>87149990111</v>
          </cell>
          <cell r="B5" t="str">
            <v>腳踏車用變速器</v>
          </cell>
          <cell r="C5">
            <v>26910960</v>
          </cell>
          <cell r="D5">
            <v>571058</v>
          </cell>
          <cell r="E5">
            <v>0</v>
          </cell>
        </row>
        <row r="6">
          <cell r="A6">
            <v>87149200108</v>
          </cell>
          <cell r="B6" t="str">
            <v>輪圈</v>
          </cell>
          <cell r="C6">
            <v>25252866</v>
          </cell>
          <cell r="D6">
            <v>544982</v>
          </cell>
          <cell r="E6">
            <v>1064016</v>
          </cell>
        </row>
        <row r="7">
          <cell r="A7">
            <v>87149310007</v>
          </cell>
          <cell r="B7" t="str">
            <v>輪轂，但倒煞車輪轂及輪轂煞車除外</v>
          </cell>
          <cell r="C7">
            <v>23037349</v>
          </cell>
          <cell r="D7">
            <v>839243</v>
          </cell>
          <cell r="E7">
            <v>0</v>
          </cell>
        </row>
        <row r="8">
          <cell r="A8">
            <v>87149620002</v>
          </cell>
          <cell r="B8" t="str">
            <v>曲柄齒輪及其零件</v>
          </cell>
          <cell r="C8">
            <v>17232998</v>
          </cell>
          <cell r="D8">
            <v>899878</v>
          </cell>
          <cell r="E8">
            <v>0</v>
          </cell>
        </row>
        <row r="9">
          <cell r="A9">
            <v>87149990166</v>
          </cell>
          <cell r="B9" t="str">
            <v>腳踏車用把手</v>
          </cell>
          <cell r="C9">
            <v>10249361</v>
          </cell>
          <cell r="D9">
            <v>286503</v>
          </cell>
          <cell r="E9">
            <v>0</v>
          </cell>
        </row>
        <row r="10">
          <cell r="A10">
            <v>87149500007</v>
          </cell>
          <cell r="B10" t="str">
            <v>腳踏車車座</v>
          </cell>
          <cell r="C10">
            <v>9955961</v>
          </cell>
          <cell r="D10">
            <v>649370</v>
          </cell>
          <cell r="E10">
            <v>0</v>
          </cell>
        </row>
        <row r="11">
          <cell r="A11" t="str">
            <v>87149320005</v>
          </cell>
          <cell r="B11" t="str">
            <v>飛輪之鏈輪</v>
          </cell>
          <cell r="C11">
            <v>9033341</v>
          </cell>
          <cell r="D11">
            <v>337555</v>
          </cell>
          <cell r="E11">
            <v>0</v>
          </cell>
        </row>
        <row r="12">
          <cell r="A12">
            <v>87149410006</v>
          </cell>
          <cell r="B12" t="str">
            <v>鋼?煞車器及其零件</v>
          </cell>
          <cell r="C12">
            <v>6241553</v>
          </cell>
          <cell r="D12">
            <v>71496</v>
          </cell>
          <cell r="E12">
            <v>0</v>
          </cell>
        </row>
        <row r="13">
          <cell r="A13">
            <v>87149990157</v>
          </cell>
          <cell r="B13" t="str">
            <v>腳踏車用座管及上下管</v>
          </cell>
          <cell r="C13">
            <v>5970721</v>
          </cell>
          <cell r="D13">
            <v>310557</v>
          </cell>
          <cell r="E13">
            <v>0</v>
          </cell>
        </row>
        <row r="14">
          <cell r="A14">
            <v>87149200206</v>
          </cell>
          <cell r="B14" t="str">
            <v>輪幅</v>
          </cell>
          <cell r="C14">
            <v>5032996</v>
          </cell>
          <cell r="D14">
            <v>84626</v>
          </cell>
          <cell r="E14">
            <v>14650124</v>
          </cell>
        </row>
        <row r="15">
          <cell r="A15">
            <v>87149610004</v>
          </cell>
          <cell r="B15" t="str">
            <v>踏板及其零件</v>
          </cell>
          <cell r="C15">
            <v>4134337</v>
          </cell>
          <cell r="D15">
            <v>355560</v>
          </cell>
          <cell r="E15">
            <v>0</v>
          </cell>
        </row>
        <row r="16">
          <cell r="A16">
            <v>87149200304</v>
          </cell>
          <cell r="B16" t="str">
            <v>輪圈及輪幅</v>
          </cell>
          <cell r="C16">
            <v>3694481</v>
          </cell>
          <cell r="D16">
            <v>127343</v>
          </cell>
          <cell r="E16">
            <v>977828</v>
          </cell>
        </row>
        <row r="17">
          <cell r="A17">
            <v>87149990148</v>
          </cell>
          <cell r="B17" t="str">
            <v>腳踏車用把手豎管</v>
          </cell>
          <cell r="C17">
            <v>3008103</v>
          </cell>
          <cell r="D17">
            <v>172656</v>
          </cell>
          <cell r="E17">
            <v>0</v>
          </cell>
        </row>
        <row r="18">
          <cell r="A18" t="str">
            <v>87149990120</v>
          </cell>
          <cell r="B18" t="str">
            <v>腳踏車用飛輪</v>
          </cell>
          <cell r="C18">
            <v>2244982</v>
          </cell>
          <cell r="D18">
            <v>102163</v>
          </cell>
          <cell r="E18">
            <v>0</v>
          </cell>
        </row>
        <row r="19">
          <cell r="A19" t="str">
            <v>87149920009</v>
          </cell>
          <cell r="B19" t="str">
            <v>車輛用反光片、帶</v>
          </cell>
          <cell r="C19">
            <v>1292532</v>
          </cell>
          <cell r="D19">
            <v>120320</v>
          </cell>
          <cell r="E19">
            <v>0</v>
          </cell>
        </row>
        <row r="20">
          <cell r="A20">
            <v>87149990139</v>
          </cell>
          <cell r="B20" t="str">
            <v>腳踏車用軸心</v>
          </cell>
          <cell r="C20">
            <v>841474</v>
          </cell>
          <cell r="D20">
            <v>100679</v>
          </cell>
          <cell r="E20">
            <v>0</v>
          </cell>
        </row>
        <row r="21">
          <cell r="A21">
            <v>87149320906</v>
          </cell>
          <cell r="B21" t="str">
            <v>其他飛輪之鏈輪</v>
          </cell>
          <cell r="C21">
            <v>814067</v>
          </cell>
          <cell r="D21">
            <v>43980</v>
          </cell>
          <cell r="E21">
            <v>0</v>
          </cell>
        </row>
        <row r="22">
          <cell r="A22">
            <v>87149610004</v>
          </cell>
          <cell r="B22" t="str">
            <v>倒煞車輪轂及其零件</v>
          </cell>
          <cell r="C22">
            <v>174058</v>
          </cell>
          <cell r="D22">
            <v>14546</v>
          </cell>
          <cell r="E22">
            <v>0</v>
          </cell>
        </row>
        <row r="23">
          <cell r="A23">
            <v>87149320103</v>
          </cell>
          <cell r="B23" t="str">
            <v>裝有棘輪機構之單一鏈輪　</v>
          </cell>
          <cell r="C23">
            <v>60634</v>
          </cell>
          <cell r="D23">
            <v>1308</v>
          </cell>
          <cell r="E23">
            <v>0</v>
          </cell>
        </row>
        <row r="24">
          <cell r="A24" t="str">
            <v>87149910001</v>
          </cell>
          <cell r="B24" t="str">
            <v>邊車零件</v>
          </cell>
          <cell r="C24">
            <v>25306</v>
          </cell>
          <cell r="D24">
            <v>521</v>
          </cell>
          <cell r="E24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33547174</v>
          </cell>
          <cell r="F11">
            <v>73370</v>
          </cell>
        </row>
        <row r="12">
          <cell r="C12" t="str">
            <v>荷蘭</v>
          </cell>
          <cell r="D12" t="str">
            <v>NETHERLANDS</v>
          </cell>
          <cell r="E12">
            <v>13590883</v>
          </cell>
          <cell r="F12">
            <v>14525</v>
          </cell>
        </row>
        <row r="13">
          <cell r="C13" t="str">
            <v>澳大利亞</v>
          </cell>
          <cell r="D13" t="str">
            <v>AUSTRALIA</v>
          </cell>
          <cell r="E13">
            <v>7518300</v>
          </cell>
          <cell r="F13">
            <v>8737</v>
          </cell>
        </row>
        <row r="14">
          <cell r="C14" t="str">
            <v>英國</v>
          </cell>
          <cell r="D14" t="str">
            <v>UNITED KINGDOM</v>
          </cell>
          <cell r="E14">
            <v>5955460</v>
          </cell>
          <cell r="F14">
            <v>12194</v>
          </cell>
        </row>
        <row r="15">
          <cell r="C15" t="str">
            <v>日本</v>
          </cell>
          <cell r="D15" t="str">
            <v>JAPAN</v>
          </cell>
          <cell r="E15">
            <v>3259963</v>
          </cell>
          <cell r="F15">
            <v>4019</v>
          </cell>
        </row>
        <row r="16">
          <cell r="C16" t="str">
            <v>加拿大</v>
          </cell>
          <cell r="D16" t="str">
            <v>CANADA</v>
          </cell>
          <cell r="E16">
            <v>2558579</v>
          </cell>
          <cell r="F16">
            <v>2267</v>
          </cell>
        </row>
        <row r="17">
          <cell r="C17" t="str">
            <v>比利時</v>
          </cell>
          <cell r="D17" t="str">
            <v>BELGIUM</v>
          </cell>
          <cell r="E17">
            <v>2448875</v>
          </cell>
          <cell r="F17">
            <v>4599</v>
          </cell>
        </row>
        <row r="18">
          <cell r="C18" t="str">
            <v>中國大陸</v>
          </cell>
          <cell r="D18" t="str">
            <v>CHINA</v>
          </cell>
          <cell r="E18">
            <v>2387001</v>
          </cell>
          <cell r="F18">
            <v>2168</v>
          </cell>
        </row>
        <row r="19">
          <cell r="C19" t="str">
            <v>韓國</v>
          </cell>
          <cell r="D19" t="str">
            <v>KOREA,REPUBLIC OF</v>
          </cell>
          <cell r="E19">
            <v>2212342</v>
          </cell>
          <cell r="F19">
            <v>1790</v>
          </cell>
        </row>
        <row r="20">
          <cell r="C20" t="str">
            <v>紐西蘭</v>
          </cell>
          <cell r="D20" t="str">
            <v>NEW  ZEALAND</v>
          </cell>
          <cell r="E20">
            <v>1858681</v>
          </cell>
          <cell r="F20">
            <v>1783</v>
          </cell>
        </row>
        <row r="21">
          <cell r="C21" t="str">
            <v>德國</v>
          </cell>
          <cell r="D21" t="str">
            <v>GERMANY,FEDERAL REPUBLIC  OF</v>
          </cell>
          <cell r="E21">
            <v>1411961</v>
          </cell>
          <cell r="F21">
            <v>5797</v>
          </cell>
        </row>
        <row r="22">
          <cell r="C22" t="str">
            <v>瑞士</v>
          </cell>
          <cell r="D22" t="str">
            <v>SWITZERLAND</v>
          </cell>
          <cell r="E22">
            <v>1325166</v>
          </cell>
          <cell r="F22">
            <v>835</v>
          </cell>
        </row>
        <row r="23">
          <cell r="C23" t="str">
            <v>義大利</v>
          </cell>
          <cell r="D23" t="str">
            <v>ITALY</v>
          </cell>
          <cell r="E23">
            <v>1221871</v>
          </cell>
          <cell r="F23">
            <v>1030</v>
          </cell>
        </row>
        <row r="24">
          <cell r="C24" t="str">
            <v>法國</v>
          </cell>
          <cell r="D24" t="str">
            <v>FRANCE</v>
          </cell>
          <cell r="E24">
            <v>1193068</v>
          </cell>
          <cell r="F24">
            <v>1094</v>
          </cell>
        </row>
        <row r="25">
          <cell r="C25" t="str">
            <v>新加坡</v>
          </cell>
          <cell r="D25" t="str">
            <v>SINGAPORE</v>
          </cell>
          <cell r="E25">
            <v>955426</v>
          </cell>
          <cell r="F25">
            <v>856</v>
          </cell>
        </row>
        <row r="26">
          <cell r="C26" t="str">
            <v>墨西哥</v>
          </cell>
          <cell r="D26" t="str">
            <v>MEXICO</v>
          </cell>
          <cell r="E26">
            <v>881802</v>
          </cell>
          <cell r="F26">
            <v>1226</v>
          </cell>
        </row>
        <row r="27">
          <cell r="C27" t="str">
            <v>西班牙</v>
          </cell>
          <cell r="D27" t="str">
            <v>SPAIN</v>
          </cell>
          <cell r="E27">
            <v>798510</v>
          </cell>
          <cell r="F27">
            <v>1769</v>
          </cell>
        </row>
        <row r="28">
          <cell r="C28" t="str">
            <v>俄羅斯</v>
          </cell>
          <cell r="D28" t="str">
            <v>RUSSIA</v>
          </cell>
          <cell r="E28">
            <v>779724</v>
          </cell>
          <cell r="F28">
            <v>1812</v>
          </cell>
        </row>
        <row r="29">
          <cell r="C29" t="str">
            <v>哥倫比亞</v>
          </cell>
          <cell r="D29" t="str">
            <v>COLOMBIA</v>
          </cell>
          <cell r="E29">
            <v>727903</v>
          </cell>
          <cell r="F29">
            <v>546</v>
          </cell>
        </row>
        <row r="30">
          <cell r="C30" t="str">
            <v>波蘭</v>
          </cell>
          <cell r="D30" t="str">
            <v>POLAND</v>
          </cell>
          <cell r="E30">
            <v>695253</v>
          </cell>
          <cell r="F30">
            <v>2077</v>
          </cell>
        </row>
        <row r="31">
          <cell r="C31" t="str">
            <v>南非</v>
          </cell>
          <cell r="D31" t="str">
            <v>SOUTH  AFRICA</v>
          </cell>
          <cell r="E31">
            <v>630607</v>
          </cell>
          <cell r="F31">
            <v>506</v>
          </cell>
        </row>
        <row r="32">
          <cell r="C32" t="str">
            <v>挪威</v>
          </cell>
          <cell r="D32" t="str">
            <v>NORWAY</v>
          </cell>
          <cell r="E32">
            <v>518579</v>
          </cell>
          <cell r="F32">
            <v>314</v>
          </cell>
        </row>
        <row r="33">
          <cell r="C33" t="str">
            <v>馬來西亞</v>
          </cell>
          <cell r="D33" t="str">
            <v>MALAYSIA</v>
          </cell>
          <cell r="E33">
            <v>417088</v>
          </cell>
          <cell r="F33">
            <v>332</v>
          </cell>
        </row>
        <row r="34">
          <cell r="C34" t="str">
            <v>以色列</v>
          </cell>
          <cell r="D34" t="str">
            <v>ISRAEL</v>
          </cell>
          <cell r="E34">
            <v>411890</v>
          </cell>
          <cell r="F34">
            <v>552</v>
          </cell>
        </row>
        <row r="35">
          <cell r="C35" t="str">
            <v>香港</v>
          </cell>
          <cell r="D35" t="str">
            <v>HONG KONG</v>
          </cell>
          <cell r="E35">
            <v>379724</v>
          </cell>
          <cell r="F35">
            <v>695</v>
          </cell>
        </row>
        <row r="36">
          <cell r="C36" t="str">
            <v>菲律賓</v>
          </cell>
          <cell r="D36" t="str">
            <v>PHILIPPINES</v>
          </cell>
          <cell r="E36">
            <v>377477</v>
          </cell>
          <cell r="F36">
            <v>884</v>
          </cell>
        </row>
        <row r="37">
          <cell r="C37" t="str">
            <v>丹麥</v>
          </cell>
          <cell r="D37" t="str">
            <v>DENMARK</v>
          </cell>
          <cell r="E37">
            <v>357540</v>
          </cell>
          <cell r="F37">
            <v>2376</v>
          </cell>
        </row>
        <row r="38">
          <cell r="C38" t="str">
            <v>巴拿馬</v>
          </cell>
          <cell r="D38" t="str">
            <v>PANAMA</v>
          </cell>
          <cell r="E38">
            <v>333448</v>
          </cell>
          <cell r="F38">
            <v>432</v>
          </cell>
        </row>
        <row r="39">
          <cell r="C39" t="str">
            <v>越南</v>
          </cell>
          <cell r="D39" t="str">
            <v>VIET NAM</v>
          </cell>
          <cell r="E39">
            <v>332513</v>
          </cell>
          <cell r="F39">
            <v>161</v>
          </cell>
        </row>
        <row r="40">
          <cell r="C40" t="str">
            <v>關島</v>
          </cell>
          <cell r="D40" t="str">
            <v>GUAM</v>
          </cell>
          <cell r="E40">
            <v>316499</v>
          </cell>
          <cell r="F40">
            <v>156</v>
          </cell>
        </row>
        <row r="41">
          <cell r="C41" t="str">
            <v>巴西</v>
          </cell>
          <cell r="D41" t="str">
            <v>BRAZIL</v>
          </cell>
          <cell r="E41">
            <v>284126</v>
          </cell>
          <cell r="F41">
            <v>323</v>
          </cell>
        </row>
        <row r="42">
          <cell r="C42" t="str">
            <v>智利</v>
          </cell>
          <cell r="D42" t="str">
            <v>CHILE</v>
          </cell>
          <cell r="E42">
            <v>254834</v>
          </cell>
          <cell r="F42">
            <v>188</v>
          </cell>
        </row>
        <row r="43">
          <cell r="C43" t="str">
            <v>泰國</v>
          </cell>
          <cell r="D43" t="str">
            <v>THAILAND</v>
          </cell>
          <cell r="E43">
            <v>243778</v>
          </cell>
          <cell r="F43">
            <v>156</v>
          </cell>
        </row>
        <row r="44">
          <cell r="C44" t="str">
            <v>瑞典</v>
          </cell>
          <cell r="D44" t="str">
            <v>SWEDEN</v>
          </cell>
          <cell r="E44">
            <v>210711</v>
          </cell>
          <cell r="F44">
            <v>373</v>
          </cell>
        </row>
        <row r="45">
          <cell r="C45" t="str">
            <v>阿根廷</v>
          </cell>
          <cell r="D45" t="str">
            <v>ARGENTINA</v>
          </cell>
          <cell r="E45">
            <v>193761</v>
          </cell>
          <cell r="F45">
            <v>169</v>
          </cell>
        </row>
        <row r="46">
          <cell r="C46" t="str">
            <v>捷克</v>
          </cell>
          <cell r="D46" t="str">
            <v>CZECH  REPUBLIC</v>
          </cell>
          <cell r="E46">
            <v>163570</v>
          </cell>
          <cell r="F46">
            <v>124</v>
          </cell>
        </row>
        <row r="47">
          <cell r="C47" t="str">
            <v>肯亞</v>
          </cell>
          <cell r="D47" t="str">
            <v>KENYA</v>
          </cell>
          <cell r="E47">
            <v>135910</v>
          </cell>
          <cell r="F47">
            <v>132</v>
          </cell>
        </row>
        <row r="48">
          <cell r="C48" t="str">
            <v>哥斯大黎加</v>
          </cell>
          <cell r="D48" t="str">
            <v>COSTA RICA</v>
          </cell>
          <cell r="E48">
            <v>132131</v>
          </cell>
          <cell r="F48">
            <v>81</v>
          </cell>
        </row>
        <row r="49">
          <cell r="C49" t="str">
            <v>希臘</v>
          </cell>
          <cell r="D49" t="str">
            <v>GREECE</v>
          </cell>
          <cell r="E49">
            <v>115217</v>
          </cell>
          <cell r="F49">
            <v>2810</v>
          </cell>
        </row>
        <row r="50">
          <cell r="C50" t="str">
            <v>烏克蘭</v>
          </cell>
          <cell r="D50" t="str">
            <v>UKRAINE</v>
          </cell>
          <cell r="E50">
            <v>105789</v>
          </cell>
          <cell r="F50">
            <v>117</v>
          </cell>
        </row>
        <row r="51">
          <cell r="C51" t="str">
            <v>奧地利</v>
          </cell>
          <cell r="D51" t="str">
            <v>AUSTRIA</v>
          </cell>
          <cell r="E51">
            <v>101179</v>
          </cell>
          <cell r="F51">
            <v>149</v>
          </cell>
        </row>
        <row r="52">
          <cell r="C52" t="str">
            <v>沙烏地阿拉伯</v>
          </cell>
          <cell r="D52" t="str">
            <v>SAUDI  ARABIA</v>
          </cell>
          <cell r="E52">
            <v>64056</v>
          </cell>
          <cell r="F52">
            <v>68</v>
          </cell>
        </row>
        <row r="53">
          <cell r="C53" t="str">
            <v>阿拉伯聯合大公國</v>
          </cell>
          <cell r="D53" t="str">
            <v>UNITED ARAB EMIRATES</v>
          </cell>
          <cell r="E53">
            <v>63501</v>
          </cell>
          <cell r="F53">
            <v>121</v>
          </cell>
        </row>
        <row r="54">
          <cell r="C54" t="str">
            <v>厄瓜多</v>
          </cell>
          <cell r="D54" t="str">
            <v>ECUADOR</v>
          </cell>
          <cell r="E54">
            <v>61248</v>
          </cell>
          <cell r="F54">
            <v>50</v>
          </cell>
        </row>
        <row r="55">
          <cell r="C55" t="str">
            <v>印尼</v>
          </cell>
          <cell r="D55" t="str">
            <v>INDONESIA</v>
          </cell>
          <cell r="E55">
            <v>42910</v>
          </cell>
          <cell r="F55">
            <v>34</v>
          </cell>
        </row>
        <row r="56">
          <cell r="C56" t="str">
            <v>愛爾蘭</v>
          </cell>
          <cell r="D56" t="str">
            <v>IRELAND</v>
          </cell>
          <cell r="E56">
            <v>40485</v>
          </cell>
          <cell r="F56">
            <v>250</v>
          </cell>
        </row>
        <row r="57">
          <cell r="C57" t="str">
            <v>新克里多亞</v>
          </cell>
          <cell r="D57" t="str">
            <v>NEW CALEDDNIA</v>
          </cell>
          <cell r="E57">
            <v>31889</v>
          </cell>
          <cell r="F57">
            <v>25</v>
          </cell>
        </row>
        <row r="58">
          <cell r="C58" t="str">
            <v>葡萄牙</v>
          </cell>
          <cell r="D58" t="str">
            <v>PORTUGAL</v>
          </cell>
          <cell r="E58">
            <v>30641</v>
          </cell>
          <cell r="F58">
            <v>13</v>
          </cell>
        </row>
        <row r="59">
          <cell r="C59" t="str">
            <v>薩爾瓦多</v>
          </cell>
          <cell r="D59" t="str">
            <v>EL  SALVADOR</v>
          </cell>
          <cell r="E59">
            <v>28492</v>
          </cell>
          <cell r="F59">
            <v>22</v>
          </cell>
        </row>
        <row r="60">
          <cell r="C60" t="str">
            <v>阿魯巴</v>
          </cell>
          <cell r="D60" t="str">
            <v>ARUBA</v>
          </cell>
          <cell r="E60">
            <v>7938</v>
          </cell>
          <cell r="F60">
            <v>5</v>
          </cell>
        </row>
        <row r="61">
          <cell r="C61" t="str">
            <v>黎巴嫩</v>
          </cell>
          <cell r="D61" t="str">
            <v>LEBANON</v>
          </cell>
          <cell r="E61">
            <v>7556</v>
          </cell>
          <cell r="F61">
            <v>6</v>
          </cell>
        </row>
        <row r="62">
          <cell r="C62" t="str">
            <v>印度</v>
          </cell>
          <cell r="D62" t="str">
            <v>INDIA</v>
          </cell>
          <cell r="E62">
            <v>6932</v>
          </cell>
          <cell r="F62">
            <v>6</v>
          </cell>
        </row>
        <row r="63">
          <cell r="C63" t="str">
            <v>保加利亞</v>
          </cell>
          <cell r="D63" t="str">
            <v>BULGARIA</v>
          </cell>
          <cell r="E63">
            <v>6170</v>
          </cell>
          <cell r="F63">
            <v>53</v>
          </cell>
        </row>
        <row r="64">
          <cell r="C64" t="str">
            <v>立陶宛</v>
          </cell>
          <cell r="D64" t="str">
            <v>LITHUANIA</v>
          </cell>
          <cell r="E64">
            <v>3951</v>
          </cell>
          <cell r="F64">
            <v>1</v>
          </cell>
        </row>
        <row r="65">
          <cell r="C65" t="str">
            <v>祕魯</v>
          </cell>
          <cell r="D65" t="str">
            <v>PERU</v>
          </cell>
          <cell r="E65">
            <v>3605</v>
          </cell>
          <cell r="F65">
            <v>1</v>
          </cell>
        </row>
        <row r="66">
          <cell r="C66" t="str">
            <v>芬蘭</v>
          </cell>
          <cell r="D66" t="str">
            <v>FINLAND</v>
          </cell>
          <cell r="E66">
            <v>1837</v>
          </cell>
          <cell r="F66">
            <v>6</v>
          </cell>
        </row>
        <row r="67">
          <cell r="C67" t="str">
            <v>匈牙利</v>
          </cell>
          <cell r="D67" t="str">
            <v>HUNGARY</v>
          </cell>
          <cell r="E67">
            <v>1698</v>
          </cell>
          <cell r="F67">
            <v>13</v>
          </cell>
        </row>
        <row r="68">
          <cell r="C68" t="str">
            <v>馬紹爾群島共和國</v>
          </cell>
          <cell r="D68" t="str">
            <v>MARSHALL ISLANDS</v>
          </cell>
          <cell r="E68">
            <v>763</v>
          </cell>
          <cell r="F68">
            <v>2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"/>
      <sheetName val="整車比較"/>
      <sheetName val="整車出口地區"/>
      <sheetName val="同期比較"/>
      <sheetName val="整車進口"/>
      <sheetName val="折疊車"/>
      <sheetName val="折疊出口比較"/>
      <sheetName val="電輔車"/>
      <sheetName val="電輔車比較"/>
      <sheetName val="電動摺疊同期比較"/>
      <sheetName val="零件"/>
      <sheetName val="零件出口比較"/>
      <sheetName val="零件進口比較"/>
    </sheetNames>
    <sheetDataSet>
      <sheetData sheetId="0">
        <row r="22">
          <cell r="B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  <sheetName val="ALL12"/>
    </sheetNames>
    <sheetDataSet>
      <sheetData sheetId="0" refreshError="1">
        <row r="11">
          <cell r="C11" t="str">
            <v>美國</v>
          </cell>
          <cell r="D11" t="str">
            <v>UNITED STATES</v>
          </cell>
          <cell r="E11">
            <v>32188211</v>
          </cell>
          <cell r="F11">
            <v>60970</v>
          </cell>
        </row>
        <row r="12">
          <cell r="C12" t="str">
            <v>荷蘭</v>
          </cell>
          <cell r="D12" t="str">
            <v>NETHERLANDS</v>
          </cell>
          <cell r="E12">
            <v>15201155</v>
          </cell>
          <cell r="F12">
            <v>15792</v>
          </cell>
        </row>
        <row r="13">
          <cell r="C13" t="str">
            <v>澳大利亞</v>
          </cell>
          <cell r="D13" t="str">
            <v>AUSTRALIA</v>
          </cell>
          <cell r="E13">
            <v>8168473</v>
          </cell>
          <cell r="F13">
            <v>12512</v>
          </cell>
        </row>
        <row r="14">
          <cell r="C14" t="str">
            <v>英國</v>
          </cell>
          <cell r="D14" t="str">
            <v>UNITED KINGDOM</v>
          </cell>
          <cell r="E14">
            <v>5372669</v>
          </cell>
          <cell r="F14">
            <v>14217</v>
          </cell>
        </row>
        <row r="15">
          <cell r="C15" t="str">
            <v>比利時</v>
          </cell>
          <cell r="D15" t="str">
            <v>BELGIUM</v>
          </cell>
          <cell r="E15">
            <v>4708366</v>
          </cell>
          <cell r="F15">
            <v>6519</v>
          </cell>
        </row>
        <row r="16">
          <cell r="C16" t="str">
            <v>瑞士</v>
          </cell>
          <cell r="D16" t="str">
            <v>SWITZERLAND</v>
          </cell>
          <cell r="E16">
            <v>3402098</v>
          </cell>
          <cell r="F16">
            <v>2736</v>
          </cell>
        </row>
        <row r="17">
          <cell r="C17" t="str">
            <v>中國大陸</v>
          </cell>
          <cell r="D17" t="str">
            <v>CHINA</v>
          </cell>
          <cell r="E17">
            <v>3401926</v>
          </cell>
          <cell r="F17">
            <v>3104</v>
          </cell>
        </row>
        <row r="18">
          <cell r="C18" t="str">
            <v>日本</v>
          </cell>
          <cell r="D18" t="str">
            <v>JAPAN</v>
          </cell>
          <cell r="E18">
            <v>3196394</v>
          </cell>
          <cell r="F18">
            <v>5220</v>
          </cell>
        </row>
        <row r="19">
          <cell r="C19" t="str">
            <v>義大利</v>
          </cell>
          <cell r="D19" t="str">
            <v>ITALY</v>
          </cell>
          <cell r="E19">
            <v>2462982</v>
          </cell>
          <cell r="F19">
            <v>1914</v>
          </cell>
        </row>
        <row r="20">
          <cell r="C20" t="str">
            <v>加拿大</v>
          </cell>
          <cell r="D20" t="str">
            <v>CANADA</v>
          </cell>
          <cell r="E20">
            <v>2345835</v>
          </cell>
          <cell r="F20">
            <v>3014</v>
          </cell>
        </row>
        <row r="21">
          <cell r="C21" t="str">
            <v>紐西蘭</v>
          </cell>
          <cell r="D21" t="str">
            <v>NEW  ZEALAND</v>
          </cell>
          <cell r="E21">
            <v>2014871</v>
          </cell>
          <cell r="F21">
            <v>2182</v>
          </cell>
        </row>
        <row r="22">
          <cell r="C22" t="str">
            <v>德國</v>
          </cell>
          <cell r="D22" t="str">
            <v>GERMANY,FEDERAL REPUBLIC  OF</v>
          </cell>
          <cell r="E22">
            <v>1991602</v>
          </cell>
          <cell r="F22">
            <v>5920</v>
          </cell>
        </row>
        <row r="23">
          <cell r="C23" t="str">
            <v>韓國</v>
          </cell>
          <cell r="D23" t="str">
            <v>KOREA,REPUBLIC OF</v>
          </cell>
          <cell r="E23">
            <v>1984044</v>
          </cell>
          <cell r="F23">
            <v>1546</v>
          </cell>
        </row>
        <row r="24">
          <cell r="C24" t="str">
            <v>新加坡</v>
          </cell>
          <cell r="D24" t="str">
            <v>SINGAPORE</v>
          </cell>
          <cell r="E24">
            <v>1781279</v>
          </cell>
          <cell r="F24">
            <v>1391</v>
          </cell>
        </row>
        <row r="25">
          <cell r="C25" t="str">
            <v>西班牙</v>
          </cell>
          <cell r="D25" t="str">
            <v>SPAIN</v>
          </cell>
          <cell r="E25">
            <v>1213680</v>
          </cell>
          <cell r="F25">
            <v>2665</v>
          </cell>
        </row>
        <row r="26">
          <cell r="C26" t="str">
            <v>俄羅斯</v>
          </cell>
          <cell r="D26" t="str">
            <v>RUSSIA</v>
          </cell>
          <cell r="E26">
            <v>1193493</v>
          </cell>
          <cell r="F26">
            <v>2631</v>
          </cell>
        </row>
        <row r="27">
          <cell r="C27" t="str">
            <v>馬來西亞</v>
          </cell>
          <cell r="D27" t="str">
            <v>MALAYSIA</v>
          </cell>
          <cell r="E27">
            <v>1167495</v>
          </cell>
          <cell r="F27">
            <v>830</v>
          </cell>
        </row>
        <row r="28">
          <cell r="C28" t="str">
            <v>印尼</v>
          </cell>
          <cell r="D28" t="str">
            <v>INDONESIA</v>
          </cell>
          <cell r="E28">
            <v>958153</v>
          </cell>
          <cell r="F28">
            <v>823</v>
          </cell>
        </row>
        <row r="29">
          <cell r="C29" t="str">
            <v>挪威</v>
          </cell>
          <cell r="D29" t="str">
            <v>NORWAY</v>
          </cell>
          <cell r="E29">
            <v>906262</v>
          </cell>
          <cell r="F29">
            <v>838</v>
          </cell>
        </row>
        <row r="30">
          <cell r="C30" t="str">
            <v>法國</v>
          </cell>
          <cell r="D30" t="str">
            <v>FRANCE</v>
          </cell>
          <cell r="E30">
            <v>895521</v>
          </cell>
          <cell r="F30">
            <v>680</v>
          </cell>
        </row>
        <row r="31">
          <cell r="C31" t="str">
            <v>墨西哥</v>
          </cell>
          <cell r="D31" t="str">
            <v>MEXICO</v>
          </cell>
          <cell r="E31">
            <v>675471</v>
          </cell>
          <cell r="F31">
            <v>534</v>
          </cell>
        </row>
        <row r="32">
          <cell r="C32" t="str">
            <v>波蘭</v>
          </cell>
          <cell r="D32" t="str">
            <v>POLAND</v>
          </cell>
          <cell r="E32">
            <v>651295</v>
          </cell>
          <cell r="F32">
            <v>2420</v>
          </cell>
        </row>
        <row r="33">
          <cell r="C33" t="str">
            <v>捷克</v>
          </cell>
          <cell r="D33" t="str">
            <v>CZECH  REPUBLIC</v>
          </cell>
          <cell r="E33">
            <v>600700</v>
          </cell>
          <cell r="F33">
            <v>2983</v>
          </cell>
        </row>
        <row r="34">
          <cell r="C34" t="str">
            <v>智利</v>
          </cell>
          <cell r="D34" t="str">
            <v>CHILE</v>
          </cell>
          <cell r="E34">
            <v>495836</v>
          </cell>
          <cell r="F34">
            <v>933</v>
          </cell>
        </row>
        <row r="35">
          <cell r="C35" t="str">
            <v>巴拿馬</v>
          </cell>
          <cell r="D35" t="str">
            <v>PANAMA</v>
          </cell>
          <cell r="E35">
            <v>492827</v>
          </cell>
          <cell r="F35">
            <v>408</v>
          </cell>
        </row>
        <row r="36">
          <cell r="C36" t="str">
            <v>菲律賓</v>
          </cell>
          <cell r="D36" t="str">
            <v>PHILIPPINES</v>
          </cell>
          <cell r="E36">
            <v>486108</v>
          </cell>
          <cell r="F36">
            <v>872</v>
          </cell>
        </row>
        <row r="37">
          <cell r="C37" t="str">
            <v>南非</v>
          </cell>
          <cell r="D37" t="str">
            <v>SOUTH  AFRICA</v>
          </cell>
          <cell r="E37">
            <v>482820</v>
          </cell>
          <cell r="F37">
            <v>360</v>
          </cell>
        </row>
        <row r="38">
          <cell r="C38" t="str">
            <v>香港</v>
          </cell>
          <cell r="D38" t="str">
            <v>HONG KONG</v>
          </cell>
          <cell r="E38">
            <v>425334</v>
          </cell>
          <cell r="F38">
            <v>456</v>
          </cell>
        </row>
        <row r="39">
          <cell r="C39" t="str">
            <v>阿根廷</v>
          </cell>
          <cell r="D39" t="str">
            <v>ARGENTINA</v>
          </cell>
          <cell r="E39">
            <v>300945</v>
          </cell>
          <cell r="F39">
            <v>364</v>
          </cell>
        </row>
        <row r="40">
          <cell r="C40" t="str">
            <v>泰國</v>
          </cell>
          <cell r="D40" t="str">
            <v>THAILAND</v>
          </cell>
          <cell r="E40">
            <v>279986</v>
          </cell>
          <cell r="F40">
            <v>452</v>
          </cell>
        </row>
        <row r="41">
          <cell r="C41" t="str">
            <v>哥倫比亞</v>
          </cell>
          <cell r="D41" t="str">
            <v>COLOMBIA</v>
          </cell>
          <cell r="E41">
            <v>261722</v>
          </cell>
          <cell r="F41">
            <v>233</v>
          </cell>
        </row>
        <row r="42">
          <cell r="C42" t="str">
            <v>丹麥</v>
          </cell>
          <cell r="D42" t="str">
            <v>DENMARK</v>
          </cell>
          <cell r="E42">
            <v>252100</v>
          </cell>
          <cell r="F42">
            <v>3399</v>
          </cell>
        </row>
        <row r="43">
          <cell r="C43" t="str">
            <v>祕魯</v>
          </cell>
          <cell r="D43" t="str">
            <v>PERU</v>
          </cell>
          <cell r="E43">
            <v>224562</v>
          </cell>
          <cell r="F43">
            <v>246</v>
          </cell>
        </row>
        <row r="44">
          <cell r="C44" t="str">
            <v>烏克蘭</v>
          </cell>
          <cell r="D44" t="str">
            <v>UKRAINE</v>
          </cell>
          <cell r="E44">
            <v>211371</v>
          </cell>
          <cell r="F44">
            <v>461</v>
          </cell>
        </row>
        <row r="45">
          <cell r="C45" t="str">
            <v>奧地利</v>
          </cell>
          <cell r="D45" t="str">
            <v>AUSTRIA</v>
          </cell>
          <cell r="E45">
            <v>208957</v>
          </cell>
          <cell r="F45">
            <v>177</v>
          </cell>
        </row>
        <row r="46">
          <cell r="C46" t="str">
            <v>以色列</v>
          </cell>
          <cell r="D46" t="str">
            <v>ISRAEL</v>
          </cell>
          <cell r="E46">
            <v>192722</v>
          </cell>
          <cell r="F46">
            <v>108</v>
          </cell>
        </row>
        <row r="47">
          <cell r="C47" t="str">
            <v>烏拉圭</v>
          </cell>
          <cell r="D47" t="str">
            <v>URUGUAY</v>
          </cell>
          <cell r="E47">
            <v>163785</v>
          </cell>
          <cell r="F47">
            <v>184</v>
          </cell>
        </row>
        <row r="48">
          <cell r="C48" t="str">
            <v>印度</v>
          </cell>
          <cell r="D48" t="str">
            <v>INDIA</v>
          </cell>
          <cell r="E48">
            <v>156683</v>
          </cell>
          <cell r="F48">
            <v>211</v>
          </cell>
        </row>
        <row r="49">
          <cell r="C49" t="str">
            <v>阿拉伯聯合大公國</v>
          </cell>
          <cell r="D49" t="str">
            <v>UNITED ARAB EMIRATES</v>
          </cell>
          <cell r="E49">
            <v>156263</v>
          </cell>
          <cell r="F49">
            <v>123</v>
          </cell>
        </row>
        <row r="50">
          <cell r="C50" t="str">
            <v>多明尼加</v>
          </cell>
          <cell r="D50" t="str">
            <v>DOMINICAN  REPUBLIC</v>
          </cell>
          <cell r="E50">
            <v>155913</v>
          </cell>
          <cell r="F50">
            <v>90</v>
          </cell>
        </row>
        <row r="51">
          <cell r="C51" t="str">
            <v>巴西</v>
          </cell>
          <cell r="D51" t="str">
            <v>BRAZIL</v>
          </cell>
          <cell r="E51">
            <v>145591</v>
          </cell>
          <cell r="F51">
            <v>146</v>
          </cell>
        </row>
        <row r="52">
          <cell r="C52" t="str">
            <v>越南</v>
          </cell>
          <cell r="D52" t="str">
            <v>VIET NAM</v>
          </cell>
          <cell r="E52">
            <v>135445</v>
          </cell>
          <cell r="F52">
            <v>82</v>
          </cell>
        </row>
        <row r="53">
          <cell r="C53" t="str">
            <v>瑞典</v>
          </cell>
          <cell r="D53" t="str">
            <v>SWEDEN</v>
          </cell>
          <cell r="E53">
            <v>121134</v>
          </cell>
          <cell r="F53">
            <v>255</v>
          </cell>
        </row>
        <row r="54">
          <cell r="C54" t="str">
            <v>土耳其</v>
          </cell>
          <cell r="D54" t="str">
            <v>TURKEY</v>
          </cell>
          <cell r="E54">
            <v>108432</v>
          </cell>
          <cell r="F54">
            <v>94</v>
          </cell>
        </row>
        <row r="55">
          <cell r="C55" t="str">
            <v>立陶宛</v>
          </cell>
          <cell r="D55" t="str">
            <v>LITHUANIA</v>
          </cell>
          <cell r="E55">
            <v>93772</v>
          </cell>
          <cell r="F55">
            <v>355</v>
          </cell>
        </row>
        <row r="56">
          <cell r="C56" t="str">
            <v>留尼旺</v>
          </cell>
          <cell r="D56" t="str">
            <v>REUNION</v>
          </cell>
          <cell r="E56">
            <v>63646</v>
          </cell>
          <cell r="F56">
            <v>50</v>
          </cell>
        </row>
        <row r="57">
          <cell r="C57" t="str">
            <v>賽普勒斯</v>
          </cell>
          <cell r="D57" t="str">
            <v>CYPRUS</v>
          </cell>
          <cell r="E57">
            <v>50840</v>
          </cell>
          <cell r="F57">
            <v>340</v>
          </cell>
        </row>
        <row r="58">
          <cell r="C58" t="str">
            <v>希臘</v>
          </cell>
          <cell r="D58" t="str">
            <v>GREECE</v>
          </cell>
          <cell r="E58">
            <v>49405</v>
          </cell>
          <cell r="F58">
            <v>233</v>
          </cell>
        </row>
        <row r="59">
          <cell r="C59" t="str">
            <v>柬埔寨</v>
          </cell>
          <cell r="D59" t="str">
            <v>KINGDOM  OF CAMBODIA</v>
          </cell>
          <cell r="E59">
            <v>41742</v>
          </cell>
          <cell r="F59">
            <v>23</v>
          </cell>
        </row>
        <row r="60">
          <cell r="C60" t="str">
            <v>哈薩克</v>
          </cell>
          <cell r="D60" t="str">
            <v>KAZAKHSTAN</v>
          </cell>
          <cell r="E60">
            <v>41708</v>
          </cell>
          <cell r="F60">
            <v>36</v>
          </cell>
        </row>
        <row r="61">
          <cell r="C61" t="str">
            <v>瓜地馬拉</v>
          </cell>
          <cell r="D61" t="str">
            <v>GUATEMALA</v>
          </cell>
          <cell r="E61">
            <v>41358</v>
          </cell>
          <cell r="F61">
            <v>38</v>
          </cell>
        </row>
        <row r="62">
          <cell r="C62" t="str">
            <v>拉脫維亞</v>
          </cell>
          <cell r="D62" t="str">
            <v>LATVIA</v>
          </cell>
          <cell r="E62">
            <v>33520</v>
          </cell>
          <cell r="F62">
            <v>214</v>
          </cell>
        </row>
        <row r="63">
          <cell r="C63" t="str">
            <v>哥斯大黎加</v>
          </cell>
          <cell r="D63" t="str">
            <v>COSTA RICA</v>
          </cell>
          <cell r="E63">
            <v>32015</v>
          </cell>
          <cell r="F63">
            <v>22</v>
          </cell>
        </row>
        <row r="64">
          <cell r="C64" t="str">
            <v>冰島</v>
          </cell>
          <cell r="D64" t="str">
            <v>ICELAND</v>
          </cell>
          <cell r="E64">
            <v>28971</v>
          </cell>
          <cell r="F64">
            <v>41</v>
          </cell>
        </row>
        <row r="65">
          <cell r="C65" t="str">
            <v>汶萊</v>
          </cell>
          <cell r="D65" t="str">
            <v>BRUNEI  DARUSSALAM</v>
          </cell>
          <cell r="E65">
            <v>16410</v>
          </cell>
          <cell r="F65">
            <v>12</v>
          </cell>
        </row>
        <row r="66">
          <cell r="C66" t="str">
            <v>關島</v>
          </cell>
          <cell r="D66" t="str">
            <v>GUAM</v>
          </cell>
          <cell r="E66">
            <v>6718</v>
          </cell>
          <cell r="F66">
            <v>5</v>
          </cell>
        </row>
        <row r="67">
          <cell r="C67" t="str">
            <v>匈牙利</v>
          </cell>
          <cell r="D67" t="str">
            <v>HUNGARY</v>
          </cell>
          <cell r="E67">
            <v>5808</v>
          </cell>
          <cell r="F67">
            <v>55</v>
          </cell>
        </row>
        <row r="68">
          <cell r="C68" t="str">
            <v>厄瓜多</v>
          </cell>
          <cell r="D68" t="str">
            <v>ECUADOR</v>
          </cell>
          <cell r="E68">
            <v>4829</v>
          </cell>
          <cell r="F68">
            <v>24</v>
          </cell>
        </row>
        <row r="69">
          <cell r="C69" t="str">
            <v>納米比亞</v>
          </cell>
          <cell r="D69" t="str">
            <v>NAMIBIA</v>
          </cell>
          <cell r="E69">
            <v>3324</v>
          </cell>
          <cell r="F69">
            <v>18</v>
          </cell>
        </row>
        <row r="70">
          <cell r="C70" t="str">
            <v>多哥</v>
          </cell>
          <cell r="D70" t="str">
            <v>TOGO</v>
          </cell>
          <cell r="E70">
            <v>420</v>
          </cell>
          <cell r="F70">
            <v>40</v>
          </cell>
        </row>
        <row r="71">
          <cell r="C71" t="str">
            <v>史瓦帝尼王國</v>
          </cell>
          <cell r="D71" t="str">
            <v>Kingdom of Eswatini</v>
          </cell>
          <cell r="E71">
            <v>175</v>
          </cell>
          <cell r="F71">
            <v>52</v>
          </cell>
        </row>
        <row r="72">
          <cell r="C72" t="str">
            <v>迦納</v>
          </cell>
          <cell r="D72" t="str">
            <v>GHANA</v>
          </cell>
          <cell r="E72">
            <v>175</v>
          </cell>
          <cell r="F72">
            <v>6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整車出口"/>
      <sheetName val="整車出口比較"/>
      <sheetName val="整車出口試算"/>
      <sheetName val="整車進口試算"/>
      <sheetName val="整車進口"/>
      <sheetName val="整車進口比較"/>
      <sheetName val="折疊車出口"/>
      <sheetName val="折疊車出口試算"/>
      <sheetName val="折疊車出口比較"/>
      <sheetName val="電動輔助自行車"/>
      <sheetName val="電動輔助自行車比較"/>
      <sheetName val="台灣--中國"/>
      <sheetName val="台灣出口至中國"/>
      <sheetName val="台灣出口中國試算"/>
      <sheetName val="台灣自中國進口試算"/>
      <sheetName val="台灣自中國進口"/>
      <sheetName val="電動輔助自行車試算"/>
      <sheetName val="零件進出口"/>
      <sheetName val="零件進出口試算表"/>
      <sheetName val="零件出口比較"/>
      <sheetName val="零件進口比較"/>
      <sheetName val="平均單價 "/>
      <sheetName val="數量 "/>
      <sheetName val="金額 "/>
    </sheetNames>
    <sheetDataSet>
      <sheetData sheetId="0"/>
      <sheetData sheetId="1">
        <row r="7">
          <cell r="C7">
            <v>315468</v>
          </cell>
          <cell r="F7">
            <v>218067412</v>
          </cell>
        </row>
        <row r="11">
          <cell r="C11"/>
        </row>
        <row r="12">
          <cell r="C12">
            <v>168407</v>
          </cell>
          <cell r="F12">
            <v>93953809</v>
          </cell>
        </row>
        <row r="40">
          <cell r="C40"/>
          <cell r="F40"/>
        </row>
        <row r="41">
          <cell r="C41">
            <v>8512</v>
          </cell>
          <cell r="F41">
            <v>7968485</v>
          </cell>
        </row>
        <row r="47">
          <cell r="C47">
            <v>166351</v>
          </cell>
          <cell r="F47">
            <v>143587179</v>
          </cell>
        </row>
        <row r="66">
          <cell r="C66">
            <v>15595</v>
          </cell>
          <cell r="F66">
            <v>18191676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7">
          <cell r="C7">
            <v>312</v>
          </cell>
          <cell r="F7">
            <v>334630</v>
          </cell>
        </row>
        <row r="11">
          <cell r="F11"/>
        </row>
        <row r="12">
          <cell r="C12">
            <v>511</v>
          </cell>
          <cell r="F12">
            <v>344564</v>
          </cell>
        </row>
        <row r="41">
          <cell r="F41">
            <v>0</v>
          </cell>
        </row>
        <row r="46">
          <cell r="F46"/>
        </row>
        <row r="47">
          <cell r="C47">
            <v>4167</v>
          </cell>
          <cell r="F47">
            <v>2728101</v>
          </cell>
        </row>
        <row r="67">
          <cell r="C67">
            <v>300</v>
          </cell>
          <cell r="F67">
            <v>170938</v>
          </cell>
        </row>
      </sheetData>
      <sheetData sheetId="9"/>
      <sheetData sheetId="10">
        <row r="8">
          <cell r="C8">
            <v>105516</v>
          </cell>
          <cell r="F8">
            <v>175650226</v>
          </cell>
        </row>
        <row r="13">
          <cell r="C13">
            <v>183381</v>
          </cell>
          <cell r="F13">
            <v>220517456</v>
          </cell>
        </row>
        <row r="42">
          <cell r="C42">
            <v>4800</v>
          </cell>
          <cell r="F42">
            <v>8169408</v>
          </cell>
        </row>
        <row r="48">
          <cell r="C48">
            <v>36323</v>
          </cell>
          <cell r="F48">
            <v>62845985</v>
          </cell>
        </row>
        <row r="63">
          <cell r="C63">
            <v>2714</v>
          </cell>
          <cell r="F63">
            <v>7017492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2022年01至04月
出口金額($US)</v>
          </cell>
          <cell r="C2" t="str">
            <v>2022年01至04月
出口數量</v>
          </cell>
        </row>
        <row r="3">
          <cell r="A3" t="str">
            <v>總計</v>
          </cell>
          <cell r="B3">
            <v>481768561</v>
          </cell>
          <cell r="C3">
            <v>674333</v>
          </cell>
        </row>
        <row r="4">
          <cell r="A4" t="str">
            <v>美國</v>
          </cell>
          <cell r="B4">
            <v>197112965</v>
          </cell>
          <cell r="C4">
            <v>294648</v>
          </cell>
        </row>
        <row r="5">
          <cell r="A5" t="str">
            <v>荷蘭</v>
          </cell>
          <cell r="B5">
            <v>40134836</v>
          </cell>
          <cell r="C5">
            <v>43963</v>
          </cell>
        </row>
        <row r="6">
          <cell r="A6" t="str">
            <v>澳大利亞</v>
          </cell>
          <cell r="B6">
            <v>33279307</v>
          </cell>
          <cell r="C6">
            <v>43212</v>
          </cell>
        </row>
        <row r="7">
          <cell r="A7" t="str">
            <v>英國</v>
          </cell>
          <cell r="B7">
            <v>29993536</v>
          </cell>
          <cell r="C7">
            <v>50237</v>
          </cell>
        </row>
        <row r="8">
          <cell r="A8" t="str">
            <v>南韓</v>
          </cell>
          <cell r="B8">
            <v>18270801</v>
          </cell>
          <cell r="C8">
            <v>15257</v>
          </cell>
        </row>
        <row r="9">
          <cell r="A9" t="str">
            <v>比利時</v>
          </cell>
          <cell r="B9">
            <v>18237040</v>
          </cell>
          <cell r="C9">
            <v>28734</v>
          </cell>
        </row>
        <row r="10">
          <cell r="A10" t="str">
            <v>加拿大</v>
          </cell>
          <cell r="B10">
            <v>16336128</v>
          </cell>
          <cell r="C10">
            <v>16609</v>
          </cell>
        </row>
        <row r="11">
          <cell r="A11" t="str">
            <v>日本</v>
          </cell>
          <cell r="B11">
            <v>14076559</v>
          </cell>
          <cell r="C11">
            <v>17226</v>
          </cell>
        </row>
        <row r="12">
          <cell r="A12" t="str">
            <v>中國大陸</v>
          </cell>
          <cell r="B12">
            <v>10959063</v>
          </cell>
          <cell r="C12">
            <v>8323</v>
          </cell>
        </row>
        <row r="13">
          <cell r="A13" t="str">
            <v>紐西蘭</v>
          </cell>
          <cell r="B13">
            <v>9234307</v>
          </cell>
          <cell r="C13">
            <v>8460</v>
          </cell>
        </row>
        <row r="14">
          <cell r="A14" t="str">
            <v>德國</v>
          </cell>
          <cell r="B14">
            <v>9043344</v>
          </cell>
          <cell r="C14">
            <v>29642</v>
          </cell>
        </row>
        <row r="15">
          <cell r="A15" t="str">
            <v>義大利</v>
          </cell>
          <cell r="B15">
            <v>7842668</v>
          </cell>
          <cell r="C15">
            <v>7205</v>
          </cell>
        </row>
        <row r="16">
          <cell r="A16" t="str">
            <v>法國</v>
          </cell>
          <cell r="B16">
            <v>6337671</v>
          </cell>
          <cell r="C16">
            <v>6444</v>
          </cell>
        </row>
        <row r="17">
          <cell r="A17" t="str">
            <v>新加坡</v>
          </cell>
          <cell r="B17">
            <v>5361595</v>
          </cell>
          <cell r="C17">
            <v>3789</v>
          </cell>
        </row>
        <row r="18">
          <cell r="A18" t="str">
            <v>瑞士</v>
          </cell>
          <cell r="B18">
            <v>4783997</v>
          </cell>
          <cell r="C18">
            <v>3593</v>
          </cell>
        </row>
        <row r="19">
          <cell r="A19" t="str">
            <v>哥倫比亞</v>
          </cell>
          <cell r="B19">
            <v>4689957</v>
          </cell>
          <cell r="C19">
            <v>3291</v>
          </cell>
        </row>
        <row r="20">
          <cell r="A20" t="str">
            <v>墨西哥</v>
          </cell>
          <cell r="B20">
            <v>4618319</v>
          </cell>
          <cell r="C20">
            <v>4211</v>
          </cell>
        </row>
        <row r="21">
          <cell r="A21" t="str">
            <v>南非</v>
          </cell>
          <cell r="B21">
            <v>4454664</v>
          </cell>
          <cell r="C21">
            <v>2947</v>
          </cell>
        </row>
        <row r="22">
          <cell r="A22" t="str">
            <v>智利</v>
          </cell>
          <cell r="B22">
            <v>4037828</v>
          </cell>
          <cell r="C22">
            <v>3441</v>
          </cell>
        </row>
        <row r="23">
          <cell r="A23" t="str">
            <v>馬來西亞</v>
          </cell>
          <cell r="B23">
            <v>3380488</v>
          </cell>
          <cell r="C23">
            <v>2238</v>
          </cell>
        </row>
        <row r="24">
          <cell r="A24" t="str">
            <v>挪威</v>
          </cell>
          <cell r="B24">
            <v>3155218</v>
          </cell>
          <cell r="C24">
            <v>4889</v>
          </cell>
        </row>
        <row r="25">
          <cell r="A25" t="str">
            <v>丹麥</v>
          </cell>
          <cell r="B25">
            <v>3153175</v>
          </cell>
          <cell r="C25">
            <v>10135</v>
          </cell>
        </row>
        <row r="26">
          <cell r="A26" t="str">
            <v>瑞典</v>
          </cell>
          <cell r="B26">
            <v>2890032</v>
          </cell>
          <cell r="C26">
            <v>18858</v>
          </cell>
        </row>
        <row r="27">
          <cell r="A27" t="str">
            <v>以色列</v>
          </cell>
          <cell r="B27">
            <v>2834364</v>
          </cell>
          <cell r="C27">
            <v>2518</v>
          </cell>
        </row>
        <row r="28">
          <cell r="A28" t="str">
            <v>香港</v>
          </cell>
          <cell r="B28">
            <v>2340399</v>
          </cell>
          <cell r="C28">
            <v>2622</v>
          </cell>
        </row>
        <row r="29">
          <cell r="A29" t="str">
            <v>泰國</v>
          </cell>
          <cell r="B29">
            <v>2295185</v>
          </cell>
          <cell r="C29">
            <v>1776</v>
          </cell>
        </row>
        <row r="30">
          <cell r="A30" t="str">
            <v>波蘭</v>
          </cell>
          <cell r="B30">
            <v>2282165</v>
          </cell>
          <cell r="C30">
            <v>6185</v>
          </cell>
        </row>
        <row r="31">
          <cell r="A31" t="str">
            <v>哥斯大黎加</v>
          </cell>
          <cell r="B31">
            <v>1719592</v>
          </cell>
          <cell r="C31">
            <v>1149</v>
          </cell>
        </row>
        <row r="32">
          <cell r="A32" t="str">
            <v>巴拿馬</v>
          </cell>
          <cell r="B32">
            <v>1523378</v>
          </cell>
          <cell r="C32">
            <v>1019</v>
          </cell>
        </row>
        <row r="33">
          <cell r="A33" t="str">
            <v>印尼</v>
          </cell>
          <cell r="B33">
            <v>1490532</v>
          </cell>
          <cell r="C33">
            <v>1291</v>
          </cell>
        </row>
        <row r="34">
          <cell r="A34" t="str">
            <v>巴西</v>
          </cell>
          <cell r="B34">
            <v>1398582</v>
          </cell>
          <cell r="C34">
            <v>1081</v>
          </cell>
        </row>
        <row r="35">
          <cell r="A35" t="str">
            <v>菲律賓</v>
          </cell>
          <cell r="B35">
            <v>1394871</v>
          </cell>
          <cell r="C35">
            <v>1573</v>
          </cell>
        </row>
        <row r="36">
          <cell r="A36" t="str">
            <v>厄瓜多</v>
          </cell>
          <cell r="B36">
            <v>1328158</v>
          </cell>
          <cell r="C36">
            <v>946</v>
          </cell>
        </row>
        <row r="37">
          <cell r="A37" t="str">
            <v>阿拉伯聯合大公國</v>
          </cell>
          <cell r="B37">
            <v>1203142</v>
          </cell>
          <cell r="C37">
            <v>759</v>
          </cell>
        </row>
        <row r="38">
          <cell r="A38" t="str">
            <v>捷克</v>
          </cell>
          <cell r="B38">
            <v>1162864</v>
          </cell>
          <cell r="C38">
            <v>4580</v>
          </cell>
        </row>
        <row r="39">
          <cell r="A39" t="str">
            <v>阿根廷</v>
          </cell>
          <cell r="B39">
            <v>1124750</v>
          </cell>
          <cell r="C39">
            <v>1267</v>
          </cell>
        </row>
        <row r="40">
          <cell r="A40" t="str">
            <v>西班牙</v>
          </cell>
          <cell r="B40">
            <v>916291</v>
          </cell>
          <cell r="C40">
            <v>2703</v>
          </cell>
        </row>
        <row r="41">
          <cell r="A41" t="str">
            <v>俄羅斯</v>
          </cell>
          <cell r="B41">
            <v>827297</v>
          </cell>
          <cell r="C41">
            <v>2815</v>
          </cell>
        </row>
        <row r="42">
          <cell r="A42" t="str">
            <v>印度</v>
          </cell>
          <cell r="B42">
            <v>774796</v>
          </cell>
          <cell r="C42">
            <v>785</v>
          </cell>
        </row>
        <row r="43">
          <cell r="A43" t="str">
            <v>秘魯</v>
          </cell>
          <cell r="B43">
            <v>725660</v>
          </cell>
          <cell r="C43">
            <v>560</v>
          </cell>
        </row>
        <row r="44">
          <cell r="A44" t="str">
            <v>越南</v>
          </cell>
          <cell r="B44">
            <v>596639</v>
          </cell>
          <cell r="C44">
            <v>369</v>
          </cell>
        </row>
        <row r="45">
          <cell r="A45" t="str">
            <v>奧地利</v>
          </cell>
          <cell r="B45">
            <v>453279</v>
          </cell>
          <cell r="C45">
            <v>1271</v>
          </cell>
        </row>
        <row r="46">
          <cell r="A46" t="str">
            <v>關島</v>
          </cell>
          <cell r="B46">
            <v>439759</v>
          </cell>
          <cell r="C46">
            <v>212</v>
          </cell>
        </row>
        <row r="47">
          <cell r="A47" t="str">
            <v>芬蘭</v>
          </cell>
          <cell r="B47">
            <v>418926</v>
          </cell>
          <cell r="C47">
            <v>775</v>
          </cell>
        </row>
        <row r="48">
          <cell r="A48" t="str">
            <v>瓜地馬拉</v>
          </cell>
          <cell r="B48">
            <v>362105</v>
          </cell>
          <cell r="C48">
            <v>284</v>
          </cell>
        </row>
        <row r="49">
          <cell r="A49" t="str">
            <v>匈牙利</v>
          </cell>
          <cell r="B49">
            <v>293397</v>
          </cell>
          <cell r="C49">
            <v>2648</v>
          </cell>
        </row>
        <row r="50">
          <cell r="A50" t="str">
            <v>希臘</v>
          </cell>
          <cell r="B50">
            <v>272368</v>
          </cell>
          <cell r="C50">
            <v>2540</v>
          </cell>
        </row>
        <row r="51">
          <cell r="A51" t="str">
            <v>土耳其</v>
          </cell>
          <cell r="B51">
            <v>216800</v>
          </cell>
          <cell r="C51">
            <v>165</v>
          </cell>
        </row>
        <row r="52">
          <cell r="A52" t="str">
            <v>哈薩克</v>
          </cell>
          <cell r="B52">
            <v>206387</v>
          </cell>
          <cell r="C52">
            <v>328</v>
          </cell>
        </row>
        <row r="53">
          <cell r="A53" t="str">
            <v>多明尼加</v>
          </cell>
          <cell r="B53">
            <v>164817</v>
          </cell>
          <cell r="C53">
            <v>125</v>
          </cell>
        </row>
        <row r="54">
          <cell r="A54" t="str">
            <v>烏拉圭</v>
          </cell>
          <cell r="B54">
            <v>163763</v>
          </cell>
          <cell r="C54">
            <v>125</v>
          </cell>
        </row>
        <row r="55">
          <cell r="A55" t="str">
            <v>斯洛維尼亞</v>
          </cell>
          <cell r="B55">
            <v>146566</v>
          </cell>
          <cell r="C55">
            <v>630</v>
          </cell>
        </row>
        <row r="56">
          <cell r="A56" t="str">
            <v>留尼旺</v>
          </cell>
          <cell r="B56">
            <v>140936</v>
          </cell>
          <cell r="C56">
            <v>190</v>
          </cell>
        </row>
        <row r="57">
          <cell r="A57" t="str">
            <v>波多黎各</v>
          </cell>
          <cell r="B57">
            <v>115469</v>
          </cell>
          <cell r="C57">
            <v>96</v>
          </cell>
        </row>
        <row r="58">
          <cell r="A58" t="str">
            <v>肯亞</v>
          </cell>
          <cell r="B58">
            <v>112601</v>
          </cell>
          <cell r="C58">
            <v>94</v>
          </cell>
        </row>
        <row r="59">
          <cell r="A59" t="str">
            <v>拉脫維亞</v>
          </cell>
          <cell r="B59">
            <v>92521</v>
          </cell>
          <cell r="C59">
            <v>413</v>
          </cell>
        </row>
        <row r="60">
          <cell r="A60" t="str">
            <v>卡達</v>
          </cell>
          <cell r="B60">
            <v>83717</v>
          </cell>
          <cell r="C60">
            <v>94</v>
          </cell>
        </row>
        <row r="61">
          <cell r="A61" t="str">
            <v>烏茲別克</v>
          </cell>
          <cell r="B61">
            <v>80115</v>
          </cell>
          <cell r="C61">
            <v>200</v>
          </cell>
        </row>
        <row r="62">
          <cell r="A62" t="str">
            <v>委內瑞拉</v>
          </cell>
          <cell r="B62">
            <v>70513</v>
          </cell>
          <cell r="C62">
            <v>234</v>
          </cell>
        </row>
        <row r="63">
          <cell r="A63" t="str">
            <v>薩爾瓦多</v>
          </cell>
          <cell r="B63">
            <v>70150</v>
          </cell>
          <cell r="C63">
            <v>151</v>
          </cell>
        </row>
        <row r="64">
          <cell r="A64" t="str">
            <v>賽普勒斯</v>
          </cell>
          <cell r="B64">
            <v>68501</v>
          </cell>
          <cell r="C64">
            <v>404</v>
          </cell>
        </row>
        <row r="65">
          <cell r="A65" t="str">
            <v>波士尼亞及赫塞哥維納</v>
          </cell>
          <cell r="B65">
            <v>67151</v>
          </cell>
          <cell r="C65">
            <v>51</v>
          </cell>
        </row>
        <row r="66">
          <cell r="A66" t="str">
            <v>沙烏地阿拉伯</v>
          </cell>
          <cell r="B66">
            <v>66438</v>
          </cell>
          <cell r="C66">
            <v>380</v>
          </cell>
        </row>
        <row r="67">
          <cell r="A67" t="str">
            <v>立陶宛</v>
          </cell>
          <cell r="B67">
            <v>60289</v>
          </cell>
          <cell r="C67">
            <v>253</v>
          </cell>
        </row>
        <row r="68">
          <cell r="A68" t="str">
            <v>克羅埃西亞</v>
          </cell>
          <cell r="B68">
            <v>56854</v>
          </cell>
          <cell r="C68">
            <v>345</v>
          </cell>
        </row>
        <row r="69">
          <cell r="A69" t="str">
            <v>烏克蘭</v>
          </cell>
          <cell r="B69">
            <v>36817</v>
          </cell>
          <cell r="C69">
            <v>212</v>
          </cell>
        </row>
        <row r="70">
          <cell r="A70" t="str">
            <v>保加利亞</v>
          </cell>
          <cell r="B70">
            <v>34147</v>
          </cell>
          <cell r="C70">
            <v>250</v>
          </cell>
        </row>
        <row r="71">
          <cell r="A71" t="str">
            <v>黎巴嫩</v>
          </cell>
          <cell r="B71">
            <v>33010</v>
          </cell>
          <cell r="C71">
            <v>24</v>
          </cell>
        </row>
        <row r="72">
          <cell r="A72" t="str">
            <v>愛沙尼亞</v>
          </cell>
          <cell r="B72">
            <v>29589</v>
          </cell>
          <cell r="C72">
            <v>213</v>
          </cell>
        </row>
        <row r="73">
          <cell r="A73" t="str">
            <v>冰島</v>
          </cell>
          <cell r="B73">
            <v>29270</v>
          </cell>
          <cell r="C73">
            <v>30</v>
          </cell>
        </row>
        <row r="74">
          <cell r="A74" t="str">
            <v>尼泊爾</v>
          </cell>
          <cell r="B74">
            <v>15262</v>
          </cell>
          <cell r="C74">
            <v>8</v>
          </cell>
        </row>
        <row r="75">
          <cell r="A75" t="str">
            <v>羅馬尼亞</v>
          </cell>
          <cell r="B75">
            <v>12060</v>
          </cell>
          <cell r="C75">
            <v>114</v>
          </cell>
        </row>
        <row r="76">
          <cell r="A76" t="str">
            <v>模里西斯</v>
          </cell>
          <cell r="B76">
            <v>10572</v>
          </cell>
          <cell r="C76">
            <v>10</v>
          </cell>
        </row>
        <row r="77">
          <cell r="A77" t="str">
            <v>馬爾他</v>
          </cell>
          <cell r="B77">
            <v>9005</v>
          </cell>
          <cell r="C77">
            <v>52</v>
          </cell>
        </row>
        <row r="78">
          <cell r="A78" t="str">
            <v>法屬玻里尼西亞</v>
          </cell>
          <cell r="B78">
            <v>6699</v>
          </cell>
          <cell r="C78">
            <v>10</v>
          </cell>
        </row>
        <row r="79">
          <cell r="A79" t="str">
            <v>斯洛伐克</v>
          </cell>
          <cell r="B79">
            <v>6221</v>
          </cell>
          <cell r="C79">
            <v>50</v>
          </cell>
        </row>
        <row r="80">
          <cell r="A80" t="str">
            <v>馬紹爾群島共和國</v>
          </cell>
          <cell r="B80">
            <v>324</v>
          </cell>
          <cell r="C80">
            <v>2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2023年04月
進口金額($US)</v>
          </cell>
          <cell r="C2" t="str">
            <v>2023年04月
進口數量</v>
          </cell>
        </row>
        <row r="3">
          <cell r="A3" t="str">
            <v>總計</v>
          </cell>
          <cell r="B3">
            <v>3081603</v>
          </cell>
          <cell r="C3">
            <v>17657</v>
          </cell>
        </row>
        <row r="4">
          <cell r="A4" t="str">
            <v>中國大陸</v>
          </cell>
          <cell r="B4">
            <v>1587283</v>
          </cell>
          <cell r="C4">
            <v>16379</v>
          </cell>
        </row>
        <row r="5">
          <cell r="A5" t="str">
            <v>柬埔寨</v>
          </cell>
          <cell r="B5">
            <v>1052826</v>
          </cell>
          <cell r="C5">
            <v>854</v>
          </cell>
        </row>
        <row r="6">
          <cell r="A6" t="str">
            <v>越南</v>
          </cell>
          <cell r="B6">
            <v>217608</v>
          </cell>
          <cell r="C6">
            <v>245</v>
          </cell>
        </row>
        <row r="7">
          <cell r="A7" t="str">
            <v>英國</v>
          </cell>
          <cell r="B7">
            <v>109363</v>
          </cell>
          <cell r="C7">
            <v>106</v>
          </cell>
        </row>
        <row r="8">
          <cell r="A8" t="str">
            <v>德國</v>
          </cell>
          <cell r="B8">
            <v>44679</v>
          </cell>
          <cell r="C8">
            <v>9</v>
          </cell>
        </row>
        <row r="9">
          <cell r="A9" t="str">
            <v>南韓</v>
          </cell>
          <cell r="B9">
            <v>39685</v>
          </cell>
          <cell r="C9">
            <v>30</v>
          </cell>
        </row>
        <row r="10">
          <cell r="A10" t="str">
            <v>美國</v>
          </cell>
          <cell r="B10">
            <v>14816</v>
          </cell>
          <cell r="C10">
            <v>4</v>
          </cell>
        </row>
        <row r="11">
          <cell r="A11" t="str">
            <v>中華民國</v>
          </cell>
          <cell r="B11">
            <v>7950</v>
          </cell>
          <cell r="C11">
            <v>1</v>
          </cell>
        </row>
        <row r="12">
          <cell r="A12" t="str">
            <v>義大利</v>
          </cell>
          <cell r="B12">
            <v>3910</v>
          </cell>
          <cell r="C12">
            <v>2</v>
          </cell>
        </row>
        <row r="13">
          <cell r="A13" t="str">
            <v>日本</v>
          </cell>
          <cell r="B13">
            <v>3352</v>
          </cell>
          <cell r="C13">
            <v>22</v>
          </cell>
        </row>
        <row r="14">
          <cell r="A14" t="str">
            <v>孟加拉</v>
          </cell>
          <cell r="B14">
            <v>131</v>
          </cell>
          <cell r="C14">
            <v>5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進出口值表查詢結果"/>
    </sheetNames>
    <sheetDataSet>
      <sheetData sheetId="0">
        <row r="2">
          <cell r="A2" t="str">
            <v>中文名稱</v>
          </cell>
          <cell r="B2" t="str">
            <v>2023年01至04月
進口金額($US)</v>
          </cell>
          <cell r="C2" t="str">
            <v>2023年01至04月
進口數量</v>
          </cell>
        </row>
        <row r="3">
          <cell r="A3" t="str">
            <v>總計</v>
          </cell>
          <cell r="B3">
            <v>9034807</v>
          </cell>
          <cell r="C3">
            <v>62463</v>
          </cell>
        </row>
        <row r="4">
          <cell r="A4" t="str">
            <v>中國大陸</v>
          </cell>
          <cell r="B4">
            <v>5773277</v>
          </cell>
          <cell r="C4">
            <v>58920</v>
          </cell>
        </row>
        <row r="5">
          <cell r="A5" t="str">
            <v>柬埔寨</v>
          </cell>
          <cell r="B5">
            <v>1219513</v>
          </cell>
          <cell r="C5">
            <v>1428</v>
          </cell>
        </row>
        <row r="6">
          <cell r="A6" t="str">
            <v>越南</v>
          </cell>
          <cell r="B6">
            <v>950889</v>
          </cell>
          <cell r="C6">
            <v>1065</v>
          </cell>
        </row>
        <row r="7">
          <cell r="A7" t="str">
            <v>英國</v>
          </cell>
          <cell r="B7">
            <v>376538</v>
          </cell>
          <cell r="C7">
            <v>317</v>
          </cell>
        </row>
        <row r="8">
          <cell r="A8" t="str">
            <v>德國</v>
          </cell>
          <cell r="B8">
            <v>165179</v>
          </cell>
          <cell r="C8">
            <v>31</v>
          </cell>
        </row>
        <row r="9">
          <cell r="A9" t="str">
            <v>美國</v>
          </cell>
          <cell r="B9">
            <v>157705</v>
          </cell>
          <cell r="C9">
            <v>38</v>
          </cell>
        </row>
        <row r="10">
          <cell r="A10" t="str">
            <v>中華民國</v>
          </cell>
          <cell r="B10">
            <v>135121</v>
          </cell>
          <cell r="C10">
            <v>60</v>
          </cell>
        </row>
        <row r="11">
          <cell r="A11" t="str">
            <v>義大利</v>
          </cell>
          <cell r="B11">
            <v>90818</v>
          </cell>
          <cell r="C11">
            <v>17</v>
          </cell>
        </row>
        <row r="12">
          <cell r="A12" t="str">
            <v>南韓</v>
          </cell>
          <cell r="B12">
            <v>54195</v>
          </cell>
          <cell r="C12">
            <v>117</v>
          </cell>
        </row>
        <row r="13">
          <cell r="A13" t="str">
            <v>法國</v>
          </cell>
          <cell r="B13">
            <v>44192</v>
          </cell>
          <cell r="C13">
            <v>94</v>
          </cell>
        </row>
        <row r="14">
          <cell r="A14" t="str">
            <v>印尼</v>
          </cell>
          <cell r="B14">
            <v>38530</v>
          </cell>
          <cell r="C14">
            <v>303</v>
          </cell>
        </row>
        <row r="15">
          <cell r="A15" t="str">
            <v>日本</v>
          </cell>
          <cell r="B15">
            <v>12731</v>
          </cell>
          <cell r="C15">
            <v>61</v>
          </cell>
        </row>
        <row r="16">
          <cell r="A16" t="str">
            <v>西班牙</v>
          </cell>
          <cell r="B16">
            <v>10236</v>
          </cell>
          <cell r="C16">
            <v>4</v>
          </cell>
        </row>
        <row r="17">
          <cell r="A17" t="str">
            <v>澳大利亞</v>
          </cell>
          <cell r="B17">
            <v>3105</v>
          </cell>
          <cell r="C17">
            <v>1</v>
          </cell>
        </row>
        <row r="18">
          <cell r="A18" t="str">
            <v>斯洛伐克</v>
          </cell>
          <cell r="B18">
            <v>2647</v>
          </cell>
          <cell r="C18">
            <v>2</v>
          </cell>
        </row>
        <row r="19">
          <cell r="A19" t="str">
            <v>孟加拉</v>
          </cell>
          <cell r="B19">
            <v>131</v>
          </cell>
          <cell r="C19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6"/>
  <sheetViews>
    <sheetView tabSelected="1" zoomScaleNormal="100" workbookViewId="0">
      <selection activeCell="A2" sqref="A2"/>
    </sheetView>
  </sheetViews>
  <sheetFormatPr defaultColWidth="15" defaultRowHeight="16.5"/>
  <cols>
    <col min="1" max="1" width="16.5" style="5" customWidth="1"/>
    <col min="2" max="3" width="15" style="5"/>
    <col min="4" max="4" width="15" style="6"/>
    <col min="5" max="8" width="15" style="5"/>
    <col min="9" max="9" width="15" style="6"/>
    <col min="10" max="16384" width="15" style="5"/>
  </cols>
  <sheetData>
    <row r="1" spans="1:9" s="4" customFormat="1" ht="19.5">
      <c r="A1" s="1" t="s">
        <v>475</v>
      </c>
      <c r="B1" s="2"/>
      <c r="C1" s="2"/>
      <c r="D1" s="3"/>
      <c r="E1" s="2"/>
      <c r="F1" s="2"/>
      <c r="G1" s="2"/>
      <c r="H1" s="2"/>
      <c r="I1" s="3"/>
    </row>
    <row r="2" spans="1:9" ht="17.25" customHeight="1"/>
    <row r="3" spans="1:9" s="7" customFormat="1">
      <c r="A3" s="551" t="s">
        <v>0</v>
      </c>
      <c r="B3" s="552"/>
      <c r="C3" s="552"/>
      <c r="D3" s="552"/>
      <c r="E3" s="552"/>
      <c r="F3" s="552"/>
      <c r="G3" s="552"/>
      <c r="H3" s="552"/>
      <c r="I3" s="553"/>
    </row>
    <row r="4" spans="1:9" s="13" customFormat="1">
      <c r="A4" s="8" t="s">
        <v>476</v>
      </c>
      <c r="B4" s="8" t="s">
        <v>477</v>
      </c>
      <c r="C4" s="8" t="s">
        <v>478</v>
      </c>
      <c r="D4" s="9" t="s">
        <v>1</v>
      </c>
      <c r="E4" s="10" t="s">
        <v>479</v>
      </c>
      <c r="F4" s="11" t="s">
        <v>2</v>
      </c>
      <c r="G4" s="8" t="s">
        <v>480</v>
      </c>
      <c r="H4" s="11" t="s">
        <v>2</v>
      </c>
      <c r="I4" s="12" t="s">
        <v>1</v>
      </c>
    </row>
    <row r="5" spans="1:9" s="13" customFormat="1">
      <c r="A5" s="14"/>
      <c r="B5" s="14" t="s">
        <v>3</v>
      </c>
      <c r="C5" s="8" t="s">
        <v>4</v>
      </c>
      <c r="D5" s="9" t="s">
        <v>4</v>
      </c>
      <c r="E5" s="11" t="s">
        <v>3</v>
      </c>
      <c r="F5" s="11"/>
      <c r="G5" s="8" t="s">
        <v>4</v>
      </c>
      <c r="H5" s="8"/>
      <c r="I5" s="12" t="s">
        <v>4</v>
      </c>
    </row>
    <row r="6" spans="1:9">
      <c r="A6" s="15" t="s">
        <v>5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6</v>
      </c>
      <c r="B7" s="21">
        <f>SUM(B8:B10)</f>
        <v>52312</v>
      </c>
      <c r="C7" s="22">
        <f>SUM(C8:C10)</f>
        <v>54180448</v>
      </c>
      <c r="D7" s="23">
        <f>IF(B7,C7/B7,0)</f>
        <v>1035.7173879798133</v>
      </c>
      <c r="E7" s="22">
        <f>SUM(E8:E10)</f>
        <v>198330</v>
      </c>
      <c r="F7" s="24">
        <f>E7/$E$67</f>
        <v>0.36360003079957909</v>
      </c>
      <c r="G7" s="22">
        <f>SUM(G8:G10)</f>
        <v>203771802</v>
      </c>
      <c r="H7" s="24">
        <f>G7/$G$67</f>
        <v>0.39969752166484307</v>
      </c>
      <c r="I7" s="25">
        <f>IF(E7,G7/E7,0)</f>
        <v>1027.4381182877023</v>
      </c>
    </row>
    <row r="8" spans="1:9">
      <c r="A8" s="453" t="s">
        <v>201</v>
      </c>
      <c r="B8" s="27">
        <f>VLOOKUP(A8,[1]進出口值表查詢結果!$A$2:$C$56,3,0)</f>
        <v>46753</v>
      </c>
      <c r="C8" s="28">
        <f>VLOOKUP(A8,[1]進出口值表查詢結果!$A$2:$C$59,2,0)</f>
        <v>47398616</v>
      </c>
      <c r="D8" s="23">
        <f t="shared" ref="D8:D67" si="0">IF(B8,C8/B8,0)</f>
        <v>1013.8090817701537</v>
      </c>
      <c r="E8" s="27">
        <f>VLOOKUP(A8,[2]進出口值表查詢結果!$A$2:$C$73,3,0)</f>
        <v>176764</v>
      </c>
      <c r="F8" s="29">
        <f>E8/$E$67</f>
        <v>0.32406290447363884</v>
      </c>
      <c r="G8" s="27">
        <f>VLOOKUP(A8,[2]進出口值表查詢結果!$A$2:$C$73,2,0)</f>
        <v>176804787</v>
      </c>
      <c r="H8" s="24">
        <f>G8/$G$67</f>
        <v>0.34680183660730673</v>
      </c>
      <c r="I8" s="25">
        <f t="shared" ref="I8:I67" si="1">IF(E8,G8/E8,0)</f>
        <v>1000.2307426851621</v>
      </c>
    </row>
    <row r="9" spans="1:9">
      <c r="A9" s="454" t="s">
        <v>7</v>
      </c>
      <c r="B9" s="27">
        <f>VLOOKUP(A9,[1]進出口值表查詢結果!$A$2:$C$56,3,0)</f>
        <v>4554</v>
      </c>
      <c r="C9" s="28">
        <f>VLOOKUP(A9,[1]進出口值表查詢結果!$A$2:$C$59,2,0)</f>
        <v>5485739</v>
      </c>
      <c r="D9" s="23">
        <f t="shared" si="0"/>
        <v>1204.5979358805446</v>
      </c>
      <c r="E9" s="27">
        <f>VLOOKUP(A9,[2]進出口值表查詢結果!$A$2:$C$73,3,0)</f>
        <v>17622</v>
      </c>
      <c r="F9" s="29">
        <f>E9/$E$67</f>
        <v>3.2306558477034147E-2</v>
      </c>
      <c r="G9" s="27">
        <f>VLOOKUP(A9,[2]進出口值表查詢結果!$A$2:$C$73,2,0)</f>
        <v>21577504</v>
      </c>
      <c r="H9" s="24">
        <f>G9/$G$67</f>
        <v>4.2324182187451223E-2</v>
      </c>
      <c r="I9" s="25">
        <f t="shared" si="1"/>
        <v>1224.4639654976734</v>
      </c>
    </row>
    <row r="10" spans="1:9">
      <c r="A10" s="454" t="s">
        <v>8</v>
      </c>
      <c r="B10" s="27">
        <f>VLOOKUP(A10,[1]進出口值表查詢結果!$A$2:$C$56,3,0)</f>
        <v>1005</v>
      </c>
      <c r="C10" s="28">
        <f>VLOOKUP(A10,[1]進出口值表查詢結果!$A$2:$C$59,2,0)</f>
        <v>1296093</v>
      </c>
      <c r="D10" s="23">
        <f t="shared" si="0"/>
        <v>1289.6447761194029</v>
      </c>
      <c r="E10" s="27">
        <f>VLOOKUP(A10,[2]進出口值表查詢結果!$A$2:$C$73,3,0)</f>
        <v>3944</v>
      </c>
      <c r="F10" s="29">
        <f>E10/$E$67</f>
        <v>7.2305678489060646E-3</v>
      </c>
      <c r="G10" s="27">
        <f>VLOOKUP(A10,[2]進出口值表查詢結果!$A$2:$C$73,2,0)</f>
        <v>5389511</v>
      </c>
      <c r="H10" s="24">
        <f>G10/$G$67</f>
        <v>1.0571502870085086E-2</v>
      </c>
      <c r="I10" s="25">
        <f t="shared" si="1"/>
        <v>1366.5088742393509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9</v>
      </c>
      <c r="B12" s="33">
        <f>SUM(B13:B39)</f>
        <v>41561</v>
      </c>
      <c r="C12" s="33">
        <f>SUM(C13:C39)</f>
        <v>34534661</v>
      </c>
      <c r="D12" s="23">
        <f t="shared" si="0"/>
        <v>830.9391256225789</v>
      </c>
      <c r="E12" s="33">
        <f>SUM(E13:E39)</f>
        <v>169294</v>
      </c>
      <c r="F12" s="24">
        <f t="shared" ref="F12:F27" si="2">E12/$E$67</f>
        <v>0.31036809163608098</v>
      </c>
      <c r="G12" s="33">
        <f>SUM(G13:G39)</f>
        <v>138617084</v>
      </c>
      <c r="H12" s="24">
        <f t="shared" ref="H12:H39" si="3">G12/$G$67</f>
        <v>0.27189681983185959</v>
      </c>
      <c r="I12" s="25">
        <f t="shared" si="1"/>
        <v>818.79501931551033</v>
      </c>
    </row>
    <row r="13" spans="1:9">
      <c r="A13" s="453" t="s">
        <v>202</v>
      </c>
      <c r="B13" s="27">
        <f>VLOOKUP(A13,[1]進出口值表查詢結果!$A$2:$C$56,3,0)</f>
        <v>12514</v>
      </c>
      <c r="C13" s="28">
        <f>VLOOKUP(A13,[1]進出口值表查詢結果!$A$2:$C$59,2,0)</f>
        <v>16432918</v>
      </c>
      <c r="D13" s="23">
        <f t="shared" si="0"/>
        <v>1313.1626977784881</v>
      </c>
      <c r="E13" s="27">
        <f>VLOOKUP(A13,[2]進出口值表查詢結果!$A$2:$C$73,3,0)</f>
        <v>53965</v>
      </c>
      <c r="F13" s="29">
        <f t="shared" si="2"/>
        <v>9.8934481228756546E-2</v>
      </c>
      <c r="G13" s="27">
        <f>VLOOKUP(A13,[2]進出口值表查詢結果!$A$2:$C$73,2,0)</f>
        <v>64500550</v>
      </c>
      <c r="H13" s="24">
        <f t="shared" si="3"/>
        <v>0.12651755408738688</v>
      </c>
      <c r="I13" s="25">
        <f t="shared" si="1"/>
        <v>1195.2293152969517</v>
      </c>
    </row>
    <row r="14" spans="1:9">
      <c r="A14" s="453" t="s">
        <v>203</v>
      </c>
      <c r="B14" s="27">
        <f>VLOOKUP(A14,[1]進出口值表查詢結果!$A$2:$C$56,3,0)</f>
        <v>10273</v>
      </c>
      <c r="C14" s="28">
        <f>VLOOKUP(A14,[1]進出口值表查詢結果!$A$2:$C$59,2,0)</f>
        <v>5682457</v>
      </c>
      <c r="D14" s="23">
        <f t="shared" si="0"/>
        <v>553.14484571206071</v>
      </c>
      <c r="E14" s="27">
        <f>VLOOKUP(A14,[2]進出口值表查詢結果!$A$2:$C$73,3,0)</f>
        <v>41486</v>
      </c>
      <c r="F14" s="29">
        <f t="shared" si="2"/>
        <v>7.6056627226094575E-2</v>
      </c>
      <c r="G14" s="27">
        <f>VLOOKUP(A14,[2]進出口值表查詢結果!$A$2:$C$73,2,0)</f>
        <v>20856350</v>
      </c>
      <c r="H14" s="24">
        <f t="shared" si="3"/>
        <v>4.0909641688178962E-2</v>
      </c>
      <c r="I14" s="25">
        <f t="shared" si="1"/>
        <v>502.7322470230921</v>
      </c>
    </row>
    <row r="15" spans="1:9">
      <c r="A15" s="454" t="s">
        <v>10</v>
      </c>
      <c r="B15" s="27">
        <f>VLOOKUP(A15,[1]進出口值表查詢結果!$A$2:$C$56,3,0)</f>
        <v>476</v>
      </c>
      <c r="C15" s="28">
        <f>VLOOKUP(A15,[1]進出口值表查詢結果!$A$2:$C$59,2,0)</f>
        <v>675723</v>
      </c>
      <c r="D15" s="23">
        <f t="shared" si="0"/>
        <v>1419.5861344537816</v>
      </c>
      <c r="E15" s="27">
        <f>VLOOKUP(A15,[2]進出口值表查詢結果!$A$2:$C$73,3,0)</f>
        <v>5989</v>
      </c>
      <c r="F15" s="29">
        <f t="shared" si="2"/>
        <v>1.0979683277661871E-2</v>
      </c>
      <c r="G15" s="27">
        <f>VLOOKUP(A15,[2]進出口值表查詢結果!$A$2:$C$73,2,0)</f>
        <v>5614376</v>
      </c>
      <c r="H15" s="24">
        <f t="shared" si="3"/>
        <v>1.1012574609781263E-2</v>
      </c>
      <c r="I15" s="25">
        <f t="shared" si="1"/>
        <v>937.44798797795954</v>
      </c>
    </row>
    <row r="16" spans="1:9">
      <c r="A16" s="453" t="s">
        <v>204</v>
      </c>
      <c r="B16" s="27">
        <f>VLOOKUP(A16,[1]進出口值表查詢結果!$A$2:$C$56,3,0)</f>
        <v>3636</v>
      </c>
      <c r="C16" s="28">
        <f>VLOOKUP(A16,[1]進出口值表查詢結果!$A$2:$C$59,2,0)</f>
        <v>3784494</v>
      </c>
      <c r="D16" s="23">
        <f t="shared" si="0"/>
        <v>1040.8399339933994</v>
      </c>
      <c r="E16" s="27">
        <f>VLOOKUP(A16,[2]進出口值表查詢結果!$A$2:$C$73,3,0)</f>
        <v>16264</v>
      </c>
      <c r="F16" s="29">
        <f t="shared" si="2"/>
        <v>2.9816925835346918E-2</v>
      </c>
      <c r="G16" s="27">
        <f>VLOOKUP(A16,[2]進出口值表查詢結果!$A$2:$C$73,2,0)</f>
        <v>14194946</v>
      </c>
      <c r="H16" s="24">
        <f t="shared" si="3"/>
        <v>2.7843326116173215E-2</v>
      </c>
      <c r="I16" s="25">
        <f t="shared" si="1"/>
        <v>872.78320216428926</v>
      </c>
    </row>
    <row r="17" spans="1:9">
      <c r="A17" s="454" t="s">
        <v>11</v>
      </c>
      <c r="B17" s="27">
        <f>VLOOKUP(A17,[1]進出口值表查詢結果!$A$2:$C$56,3,0)</f>
        <v>1425</v>
      </c>
      <c r="C17" s="28">
        <f>VLOOKUP(A17,[1]進出口值表查詢結果!$A$2:$C$59,2,0)</f>
        <v>1864816</v>
      </c>
      <c r="D17" s="23">
        <f t="shared" si="0"/>
        <v>1308.6428070175439</v>
      </c>
      <c r="E17" s="27">
        <f>VLOOKUP(A17,[2]進出口值表查詢結果!$A$2:$C$73,3,0)</f>
        <v>5068</v>
      </c>
      <c r="F17" s="29">
        <f t="shared" si="2"/>
        <v>9.2912063535131682E-3</v>
      </c>
      <c r="G17" s="27">
        <f>VLOOKUP(A17,[2]進出口值表查詢結果!$A$2:$C$73,2,0)</f>
        <v>8430472</v>
      </c>
      <c r="H17" s="24">
        <f t="shared" si="3"/>
        <v>1.653633491872861E-2</v>
      </c>
      <c r="I17" s="25">
        <f t="shared" si="1"/>
        <v>1663.4711917916338</v>
      </c>
    </row>
    <row r="18" spans="1:9">
      <c r="A18" s="454" t="s">
        <v>12</v>
      </c>
      <c r="B18" s="27">
        <f>VLOOKUP(A18,[1]進出口值表查詢結果!$A$2:$C$56,3,0)</f>
        <v>2256</v>
      </c>
      <c r="C18" s="28">
        <f>VLOOKUP(A18,[1]進出口值表查詢結果!$A$2:$C$59,2,0)</f>
        <v>2475887</v>
      </c>
      <c r="D18" s="23">
        <f t="shared" si="0"/>
        <v>1097.4676418439717</v>
      </c>
      <c r="E18" s="27">
        <f>VLOOKUP(A18,[2]進出口值表查詢結果!$A$2:$C$73,3,0)</f>
        <v>8975</v>
      </c>
      <c r="F18" s="29">
        <f t="shared" si="2"/>
        <v>1.6453941796128788E-2</v>
      </c>
      <c r="G18" s="27">
        <f>VLOOKUP(A18,[2]進出口值表查詢結果!$A$2:$C$73,2,0)</f>
        <v>12272384</v>
      </c>
      <c r="H18" s="24">
        <f t="shared" si="3"/>
        <v>2.4072228942252142E-2</v>
      </c>
      <c r="I18" s="25">
        <f t="shared" si="1"/>
        <v>1367.3965459610029</v>
      </c>
    </row>
    <row r="19" spans="1:9">
      <c r="A19" s="453" t="s">
        <v>205</v>
      </c>
      <c r="B19" s="27">
        <f>VLOOKUP(A19,[1]進出口值表查詢結果!$A$2:$C$56,3,0)</f>
        <v>1334</v>
      </c>
      <c r="C19" s="28">
        <f>VLOOKUP(A19,[1]進出口值表查詢結果!$A$2:$C$59,2,0)</f>
        <v>505782</v>
      </c>
      <c r="D19" s="23">
        <f t="shared" si="0"/>
        <v>379.14692653673166</v>
      </c>
      <c r="E19" s="27">
        <f>VLOOKUP(A19,[2]進出口值表查詢結果!$A$2:$C$73,3,0)</f>
        <v>4683</v>
      </c>
      <c r="F19" s="29">
        <f t="shared" si="2"/>
        <v>8.5853826664368926E-3</v>
      </c>
      <c r="G19" s="27">
        <f>VLOOKUP(A19,[2]進出口值表查詢結果!$A$2:$C$73,2,0)</f>
        <v>1877303</v>
      </c>
      <c r="H19" s="24">
        <f t="shared" si="3"/>
        <v>3.6823218382000412E-3</v>
      </c>
      <c r="I19" s="25">
        <f t="shared" si="1"/>
        <v>400.87614776852445</v>
      </c>
    </row>
    <row r="20" spans="1:9">
      <c r="A20" s="454" t="s">
        <v>206</v>
      </c>
      <c r="B20" s="27">
        <v>0</v>
      </c>
      <c r="C20" s="28">
        <v>0</v>
      </c>
      <c r="D20" s="23">
        <f t="shared" si="0"/>
        <v>0</v>
      </c>
      <c r="E20" s="27">
        <f>VLOOKUP(A20,[2]進出口值表查詢結果!$A$2:$C$73,3,0)</f>
        <v>50</v>
      </c>
      <c r="F20" s="29">
        <f t="shared" si="2"/>
        <v>9.1665413906009955E-5</v>
      </c>
      <c r="G20" s="27">
        <f>VLOOKUP(A20,[2]進出口值表查詢結果!$A$2:$C$73,2,0)</f>
        <v>110860</v>
      </c>
      <c r="H20" s="24">
        <f t="shared" si="3"/>
        <v>2.1745141779609182E-4</v>
      </c>
      <c r="I20" s="25">
        <f t="shared" si="1"/>
        <v>2217.1999999999998</v>
      </c>
    </row>
    <row r="21" spans="1:9">
      <c r="A21" s="453" t="s">
        <v>207</v>
      </c>
      <c r="B21" s="27">
        <f>VLOOKUP(A21,[1]進出口值表查詢結果!$A$2:$C$56,3,0)</f>
        <v>814</v>
      </c>
      <c r="C21" s="28">
        <f>VLOOKUP(A21,[1]進出口值表查詢結果!$A$2:$C$59,2,0)</f>
        <v>174244</v>
      </c>
      <c r="D21" s="23">
        <f t="shared" si="0"/>
        <v>214.05896805896805</v>
      </c>
      <c r="E21" s="27">
        <f>VLOOKUP(A21,[2]進出口值表查詢結果!$A$2:$C$73,3,0)</f>
        <v>1173</v>
      </c>
      <c r="F21" s="29">
        <f t="shared" si="2"/>
        <v>2.1504706102349934E-3</v>
      </c>
      <c r="G21" s="27">
        <f>VLOOKUP(A21,[2]進出口值表查詢結果!$A$2:$C$73,2,0)</f>
        <v>274590</v>
      </c>
      <c r="H21" s="24">
        <f t="shared" si="3"/>
        <v>5.3860711539445113E-4</v>
      </c>
      <c r="I21" s="25">
        <f t="shared" si="1"/>
        <v>234.0920716112532</v>
      </c>
    </row>
    <row r="22" spans="1:9">
      <c r="A22" s="454" t="s">
        <v>14</v>
      </c>
      <c r="B22" s="27">
        <v>0</v>
      </c>
      <c r="C22" s="27">
        <v>0</v>
      </c>
      <c r="D22" s="23">
        <f t="shared" si="0"/>
        <v>0</v>
      </c>
      <c r="E22" s="27">
        <v>0</v>
      </c>
      <c r="F22" s="29">
        <f t="shared" si="2"/>
        <v>0</v>
      </c>
      <c r="G22" s="27">
        <v>0</v>
      </c>
      <c r="H22" s="24">
        <f t="shared" si="3"/>
        <v>0</v>
      </c>
      <c r="I22" s="25">
        <f t="shared" si="1"/>
        <v>0</v>
      </c>
    </row>
    <row r="23" spans="1:9">
      <c r="A23" s="454" t="s">
        <v>15</v>
      </c>
      <c r="B23" s="27">
        <v>0</v>
      </c>
      <c r="C23" s="27">
        <v>0</v>
      </c>
      <c r="D23" s="23">
        <f t="shared" si="0"/>
        <v>0</v>
      </c>
      <c r="E23" s="27">
        <f>VLOOKUP(A23,[2]進出口值表查詢結果!$A$2:$C$73,3,0)</f>
        <v>2</v>
      </c>
      <c r="F23" s="29">
        <f t="shared" si="2"/>
        <v>3.6666165562403982E-6</v>
      </c>
      <c r="G23" s="27">
        <f>VLOOKUP(A23,[2]進出口值表查詢結果!$A$2:$C$73,2,0)</f>
        <v>7582</v>
      </c>
      <c r="H23" s="24">
        <f t="shared" si="3"/>
        <v>1.4872060704762478E-5</v>
      </c>
      <c r="I23" s="25">
        <f t="shared" si="1"/>
        <v>3791</v>
      </c>
    </row>
    <row r="24" spans="1:9">
      <c r="A24" s="454" t="s">
        <v>16</v>
      </c>
      <c r="B24" s="27">
        <f>VLOOKUP(A24,[1]進出口值表查詢結果!$A$2:$C$56,3,0)</f>
        <v>33</v>
      </c>
      <c r="C24" s="28">
        <f>VLOOKUP(A24,[1]進出口值表查詢結果!$A$2:$C$59,2,0)</f>
        <v>59625</v>
      </c>
      <c r="D24" s="23">
        <f t="shared" si="0"/>
        <v>1806.8181818181818</v>
      </c>
      <c r="E24" s="27">
        <f>VLOOKUP(A24,[2]進出口值表查詢結果!$A$2:$C$73,3,0)</f>
        <v>62</v>
      </c>
      <c r="F24" s="29">
        <f t="shared" si="2"/>
        <v>1.1366511324345234E-4</v>
      </c>
      <c r="G24" s="27">
        <f>VLOOKUP(A24,[2]進出口值表查詢結果!$A$2:$C$73,2,0)</f>
        <v>133350</v>
      </c>
      <c r="H24" s="24">
        <f t="shared" si="3"/>
        <v>2.6156545700080141E-4</v>
      </c>
      <c r="I24" s="25">
        <f t="shared" si="1"/>
        <v>2150.8064516129034</v>
      </c>
    </row>
    <row r="25" spans="1:9">
      <c r="A25" s="453" t="s">
        <v>208</v>
      </c>
      <c r="B25" s="27">
        <f>VLOOKUP(A25,[1]進出口值表查詢結果!$A$2:$C$56,3,0)</f>
        <v>6059</v>
      </c>
      <c r="C25" s="28">
        <f>VLOOKUP(A25,[1]進出口值表查詢結果!$A$2:$C$59,2,0)</f>
        <v>1399507</v>
      </c>
      <c r="D25" s="23">
        <f t="shared" si="0"/>
        <v>230.97986466413599</v>
      </c>
      <c r="E25" s="27">
        <f>VLOOKUP(A25,[2]進出口值表查詢結果!$A$2:$C$73,3,0)</f>
        <v>17351</v>
      </c>
      <c r="F25" s="29">
        <f t="shared" si="2"/>
        <v>3.1809731933663571E-2</v>
      </c>
      <c r="G25" s="27">
        <f>VLOOKUP(A25,[2]進出口值表查詢結果!$A$2:$C$73,2,0)</f>
        <v>3254864</v>
      </c>
      <c r="H25" s="24">
        <f t="shared" si="3"/>
        <v>6.3844018720319194E-3</v>
      </c>
      <c r="I25" s="25">
        <f t="shared" si="1"/>
        <v>187.5894184773212</v>
      </c>
    </row>
    <row r="26" spans="1:9">
      <c r="A26" s="453" t="s">
        <v>209</v>
      </c>
      <c r="B26" s="27">
        <f>VLOOKUP(A26,[1]進出口值表查詢結果!$A$2:$C$56,3,0)</f>
        <v>515</v>
      </c>
      <c r="C26" s="28">
        <f>VLOOKUP(A26,[1]進出口值表查詢結果!$A$2:$C$59,2,0)</f>
        <v>257688</v>
      </c>
      <c r="D26" s="23">
        <f t="shared" si="0"/>
        <v>500.36504854368934</v>
      </c>
      <c r="E26" s="27">
        <f>VLOOKUP(A26,[2]進出口值表查詢結果!$A$2:$C$73,3,0)</f>
        <v>1430</v>
      </c>
      <c r="F26" s="29">
        <f t="shared" si="2"/>
        <v>2.6216308377118845E-3</v>
      </c>
      <c r="G26" s="27">
        <f>VLOOKUP(A26,[2]進出口值表查詢結果!$A$2:$C$73,2,0)</f>
        <v>691816</v>
      </c>
      <c r="H26" s="24">
        <f t="shared" si="3"/>
        <v>1.3569941372363436E-3</v>
      </c>
      <c r="I26" s="25">
        <f t="shared" si="1"/>
        <v>483.78741258741258</v>
      </c>
    </row>
    <row r="27" spans="1:9">
      <c r="A27" s="455" t="s">
        <v>210</v>
      </c>
      <c r="B27" s="27">
        <f>VLOOKUP(A27,[1]進出口值表查詢結果!$A$2:$C$56,3,0)</f>
        <v>462</v>
      </c>
      <c r="C27" s="28">
        <f>VLOOKUP(A27,[1]進出口值表查詢結果!$A$2:$C$59,2,0)</f>
        <v>332097</v>
      </c>
      <c r="D27" s="23">
        <f t="shared" si="0"/>
        <v>718.82467532467535</v>
      </c>
      <c r="E27" s="27">
        <f>VLOOKUP(A27,[2]進出口值表查詢結果!$A$2:$C$73,3,0)</f>
        <v>5754</v>
      </c>
      <c r="F27" s="29">
        <f t="shared" si="2"/>
        <v>1.0548855832303625E-2</v>
      </c>
      <c r="G27" s="27">
        <f>VLOOKUP(A27,[2]進出口值表查詢結果!$A$2:$C$73,2,0)</f>
        <v>3102483</v>
      </c>
      <c r="H27" s="24">
        <f t="shared" si="3"/>
        <v>6.0855071895929312E-3</v>
      </c>
      <c r="I27" s="25">
        <f t="shared" si="1"/>
        <v>539.18717413972888</v>
      </c>
    </row>
    <row r="28" spans="1:9">
      <c r="A28" s="455" t="s">
        <v>211</v>
      </c>
      <c r="B28" s="27">
        <f>VLOOKUP(A28,[1]進出口值表查詢結果!$A$2:$C$56,3,0)</f>
        <v>946</v>
      </c>
      <c r="C28" s="28">
        <f>VLOOKUP(A28,[1]進出口值表查詢結果!$A$2:$C$59,2,0)</f>
        <v>356276</v>
      </c>
      <c r="D28" s="23">
        <f t="shared" si="0"/>
        <v>376.61310782241014</v>
      </c>
      <c r="E28" s="27">
        <f>VLOOKUP(A28,[2]進出口值表查詢結果!$A$2:$C$73,3,0)</f>
        <v>3984</v>
      </c>
      <c r="F28" s="29">
        <f t="shared" ref="F28:F39" si="4">E28/$E$67</f>
        <v>7.3039001800308733E-3</v>
      </c>
      <c r="G28" s="27">
        <f>VLOOKUP(A28,[2]進出口值表查詢結果!$A$2:$C$73,2,0)</f>
        <v>1848804</v>
      </c>
      <c r="H28" s="24">
        <f t="shared" si="3"/>
        <v>3.626421171090436E-3</v>
      </c>
      <c r="I28" s="25">
        <f t="shared" si="1"/>
        <v>464.05722891566268</v>
      </c>
    </row>
    <row r="29" spans="1:9">
      <c r="A29" s="454" t="s">
        <v>212</v>
      </c>
      <c r="B29" s="27">
        <f>VLOOKUP(A29,[1]進出口值表查詢結果!$A$2:$C$56,3,0)</f>
        <v>230</v>
      </c>
      <c r="C29" s="28">
        <f>VLOOKUP(A29,[1]進出口值表查詢結果!$A$2:$C$59,2,0)</f>
        <v>116098</v>
      </c>
      <c r="D29" s="23">
        <f t="shared" si="0"/>
        <v>504.77391304347827</v>
      </c>
      <c r="E29" s="27">
        <f>VLOOKUP(A29,[2]進出口值表查詢結果!$A$2:$C$73,3,0)</f>
        <v>787</v>
      </c>
      <c r="F29" s="29">
        <f t="shared" si="4"/>
        <v>1.4428136148805966E-3</v>
      </c>
      <c r="G29" s="27">
        <f>VLOOKUP(A29,[2]進出口值表查詢結果!$A$2:$C$73,2,0)</f>
        <v>390973</v>
      </c>
      <c r="H29" s="24">
        <f t="shared" si="3"/>
        <v>7.6689187416553685E-4</v>
      </c>
      <c r="I29" s="25">
        <f t="shared" si="1"/>
        <v>496.78907242693776</v>
      </c>
    </row>
    <row r="30" spans="1:9">
      <c r="A30" s="454" t="s">
        <v>213</v>
      </c>
      <c r="B30" s="27">
        <v>0</v>
      </c>
      <c r="C30" s="27">
        <v>0</v>
      </c>
      <c r="D30" s="23">
        <f t="shared" si="0"/>
        <v>0</v>
      </c>
      <c r="E30" s="27">
        <v>0</v>
      </c>
      <c r="F30" s="29">
        <f t="shared" si="4"/>
        <v>0</v>
      </c>
      <c r="G30" s="27">
        <v>0</v>
      </c>
      <c r="H30" s="24">
        <f t="shared" si="3"/>
        <v>0</v>
      </c>
      <c r="I30" s="25">
        <f t="shared" si="1"/>
        <v>0</v>
      </c>
    </row>
    <row r="31" spans="1:9">
      <c r="A31" s="454" t="s">
        <v>17</v>
      </c>
      <c r="B31" s="27">
        <f>VLOOKUP(A31,[1]進出口值表查詢結果!$A$2:$C$56,3,0)</f>
        <v>355</v>
      </c>
      <c r="C31" s="28">
        <f>VLOOKUP(A31,[1]進出口值表查詢結果!$A$2:$C$59,2,0)</f>
        <v>298554</v>
      </c>
      <c r="D31" s="23">
        <f t="shared" si="0"/>
        <v>840.99718309859156</v>
      </c>
      <c r="E31" s="27">
        <f>VLOOKUP(A31,[2]進出口值表查詢結果!$A$2:$C$73,3,0)</f>
        <v>537</v>
      </c>
      <c r="F31" s="29">
        <f t="shared" si="4"/>
        <v>9.8448654535054697E-4</v>
      </c>
      <c r="G31" s="27">
        <f>VLOOKUP(A31,[2]進出口值表查詢結果!$A$2:$C$73,2,0)</f>
        <v>511671</v>
      </c>
      <c r="H31" s="24">
        <f t="shared" si="3"/>
        <v>1.0036404870570458E-3</v>
      </c>
      <c r="I31" s="25">
        <f t="shared" si="1"/>
        <v>952.8324022346369</v>
      </c>
    </row>
    <row r="32" spans="1:9">
      <c r="A32" s="454" t="s">
        <v>18</v>
      </c>
      <c r="B32" s="27">
        <v>0</v>
      </c>
      <c r="C32" s="27">
        <v>0</v>
      </c>
      <c r="D32" s="23">
        <f t="shared" si="0"/>
        <v>0</v>
      </c>
      <c r="E32" s="27">
        <v>0</v>
      </c>
      <c r="F32" s="29">
        <f t="shared" si="4"/>
        <v>0</v>
      </c>
      <c r="G32" s="27">
        <v>0</v>
      </c>
      <c r="H32" s="24">
        <f t="shared" si="3"/>
        <v>0</v>
      </c>
      <c r="I32" s="25">
        <f t="shared" si="1"/>
        <v>0</v>
      </c>
    </row>
    <row r="33" spans="1:9">
      <c r="A33" s="454" t="s">
        <v>214</v>
      </c>
      <c r="B33" s="27">
        <f>VLOOKUP(A33,[1]進出口值表查詢結果!$A$2:$C$56,3,0)</f>
        <v>233</v>
      </c>
      <c r="C33" s="28">
        <f>VLOOKUP(A33,[1]進出口值表查詢結果!$A$2:$C$59,2,0)</f>
        <v>118495</v>
      </c>
      <c r="D33" s="23">
        <f t="shared" si="0"/>
        <v>508.56223175965664</v>
      </c>
      <c r="E33" s="27">
        <f>VLOOKUP(A33,[2]進出口值表查詢結果!$A$2:$C$73,3,0)</f>
        <v>697</v>
      </c>
      <c r="F33" s="29">
        <f t="shared" si="4"/>
        <v>1.2778158698497786E-3</v>
      </c>
      <c r="G33" s="27">
        <f>VLOOKUP(A33,[2]進出口值表查詢結果!$A$2:$C$73,2,0)</f>
        <v>299048</v>
      </c>
      <c r="H33" s="24">
        <f t="shared" si="3"/>
        <v>5.8658137821654042E-4</v>
      </c>
      <c r="I33" s="25">
        <f t="shared" si="1"/>
        <v>429.05021520803444</v>
      </c>
    </row>
    <row r="34" spans="1:9">
      <c r="A34" s="454" t="s">
        <v>215</v>
      </c>
      <c r="B34" s="27">
        <v>0</v>
      </c>
      <c r="C34" s="28">
        <v>0</v>
      </c>
      <c r="D34" s="23">
        <f t="shared" si="0"/>
        <v>0</v>
      </c>
      <c r="E34" s="27">
        <f>VLOOKUP(A34,[2]進出口值表查詢結果!$A$2:$C$73,3,0)</f>
        <v>263</v>
      </c>
      <c r="F34" s="29">
        <f t="shared" si="4"/>
        <v>4.8216007714561236E-4</v>
      </c>
      <c r="G34" s="27">
        <f>VLOOKUP(A34,[2]進出口值表查詢結果!$A$2:$C$73,2,0)</f>
        <v>84494</v>
      </c>
      <c r="H34" s="24">
        <f t="shared" si="3"/>
        <v>1.6573462110105523E-4</v>
      </c>
      <c r="I34" s="25">
        <f t="shared" si="1"/>
        <v>321.26996197718631</v>
      </c>
    </row>
    <row r="35" spans="1:9">
      <c r="A35" s="454" t="s">
        <v>216</v>
      </c>
      <c r="B35" s="27">
        <v>0</v>
      </c>
      <c r="C35" s="27">
        <v>0</v>
      </c>
      <c r="D35" s="23">
        <f t="shared" si="0"/>
        <v>0</v>
      </c>
      <c r="E35" s="27">
        <f>VLOOKUP(A35,[2]進出口值表查詢結果!$A$2:$C$73,3,0)</f>
        <v>126</v>
      </c>
      <c r="F35" s="29">
        <f t="shared" si="4"/>
        <v>2.3099684304314508E-4</v>
      </c>
      <c r="G35" s="27">
        <f>VLOOKUP(A35,[2]進出口值表查詢結果!$A$2:$C$73,2,0)</f>
        <v>45446</v>
      </c>
      <c r="H35" s="24">
        <f t="shared" si="3"/>
        <v>8.9142135424510101E-5</v>
      </c>
      <c r="I35" s="25">
        <f t="shared" si="1"/>
        <v>360.6825396825397</v>
      </c>
    </row>
    <row r="36" spans="1:9">
      <c r="A36" s="454" t="s">
        <v>217</v>
      </c>
      <c r="B36" s="27">
        <v>0</v>
      </c>
      <c r="C36" s="27">
        <v>0</v>
      </c>
      <c r="D36" s="23">
        <f t="shared" si="0"/>
        <v>0</v>
      </c>
      <c r="E36" s="27">
        <v>0</v>
      </c>
      <c r="F36" s="29">
        <f t="shared" si="4"/>
        <v>0</v>
      </c>
      <c r="G36" s="27">
        <v>0</v>
      </c>
      <c r="H36" s="24">
        <f t="shared" si="3"/>
        <v>0</v>
      </c>
      <c r="I36" s="25">
        <f t="shared" si="1"/>
        <v>0</v>
      </c>
    </row>
    <row r="37" spans="1:9">
      <c r="A37" s="454" t="s">
        <v>218</v>
      </c>
      <c r="B37" s="27">
        <v>0</v>
      </c>
      <c r="C37" s="27">
        <v>0</v>
      </c>
      <c r="D37" s="23">
        <f t="shared" si="0"/>
        <v>0</v>
      </c>
      <c r="E37" s="27">
        <v>0</v>
      </c>
      <c r="F37" s="29">
        <f t="shared" si="4"/>
        <v>0</v>
      </c>
      <c r="G37" s="27">
        <v>0</v>
      </c>
      <c r="H37" s="24">
        <f t="shared" si="3"/>
        <v>0</v>
      </c>
      <c r="I37" s="25">
        <f t="shared" si="1"/>
        <v>0</v>
      </c>
    </row>
    <row r="38" spans="1:9">
      <c r="A38" s="454" t="s">
        <v>219</v>
      </c>
      <c r="B38" s="27">
        <v>0</v>
      </c>
      <c r="C38" s="28">
        <v>0</v>
      </c>
      <c r="D38" s="23">
        <f t="shared" si="0"/>
        <v>0</v>
      </c>
      <c r="E38" s="27">
        <f>VLOOKUP(A38,[2]進出口值表查詢結果!$A$2:$C$73,3,0)</f>
        <v>325</v>
      </c>
      <c r="F38" s="29">
        <f t="shared" si="4"/>
        <v>5.9582519038906467E-4</v>
      </c>
      <c r="G38" s="27">
        <f>VLOOKUP(A38,[2]進出口值表查詢結果!$A$2:$C$73,2,0)</f>
        <v>48937</v>
      </c>
      <c r="H38" s="24">
        <f t="shared" si="3"/>
        <v>9.5989717054729807E-5</v>
      </c>
      <c r="I38" s="25">
        <f t="shared" si="1"/>
        <v>150.57538461538462</v>
      </c>
    </row>
    <row r="39" spans="1:9">
      <c r="A39" s="454" t="s">
        <v>19</v>
      </c>
      <c r="B39" s="27">
        <v>0</v>
      </c>
      <c r="C39" s="27">
        <v>0</v>
      </c>
      <c r="D39" s="23">
        <f t="shared" si="0"/>
        <v>0</v>
      </c>
      <c r="E39" s="27">
        <f>VLOOKUP(A39,[2]進出口值表查詢結果!$A$2:$C$73,3,0)</f>
        <v>323</v>
      </c>
      <c r="F39" s="29">
        <f t="shared" si="4"/>
        <v>5.9215857383282432E-4</v>
      </c>
      <c r="G39" s="27">
        <f>VLOOKUP(A39,[2]進出口值表查詢結果!$A$2:$C$73,2,0)</f>
        <v>65785</v>
      </c>
      <c r="H39" s="24">
        <f t="shared" si="3"/>
        <v>1.2903699729132148E-4</v>
      </c>
      <c r="I39" s="25">
        <f t="shared" si="1"/>
        <v>203.6687306501548</v>
      </c>
    </row>
    <row r="40" spans="1:9">
      <c r="A40" s="30"/>
      <c r="B40" s="27"/>
      <c r="C40" s="27"/>
      <c r="D40" s="23"/>
      <c r="E40" s="27"/>
      <c r="F40" s="29"/>
      <c r="G40" s="27"/>
      <c r="H40" s="29"/>
      <c r="I40" s="25"/>
    </row>
    <row r="41" spans="1:9" ht="18" customHeight="1">
      <c r="A41" s="36" t="s">
        <v>20</v>
      </c>
      <c r="B41" s="33">
        <f>SUM(B42:B45)</f>
        <v>3261</v>
      </c>
      <c r="C41" s="33">
        <f>SUM(C42:C45)</f>
        <v>2425492</v>
      </c>
      <c r="D41" s="23">
        <f t="shared" si="0"/>
        <v>743.78779515486042</v>
      </c>
      <c r="E41" s="33">
        <f>SUM(E42:E45)</f>
        <v>18020</v>
      </c>
      <c r="F41" s="24">
        <f>E41/$E$67</f>
        <v>3.3036215171725988E-2</v>
      </c>
      <c r="G41" s="33">
        <f>SUM(G42:G45)</f>
        <v>11283966</v>
      </c>
      <c r="H41" s="24">
        <f>G41/$G$67</f>
        <v>2.2133451245380617E-2</v>
      </c>
      <c r="I41" s="25">
        <f t="shared" si="1"/>
        <v>626.1912319644839</v>
      </c>
    </row>
    <row r="42" spans="1:9">
      <c r="A42" s="453" t="s">
        <v>220</v>
      </c>
      <c r="B42" s="27">
        <f>VLOOKUP(A42,[1]進出口值表查詢結果!$A$2:$C$56,3,0)</f>
        <v>1133</v>
      </c>
      <c r="C42" s="28">
        <f>VLOOKUP(A42,[1]進出口值表查詢結果!$A$2:$C$59,2,0)</f>
        <v>1393002</v>
      </c>
      <c r="D42" s="23">
        <f t="shared" si="0"/>
        <v>1229.4810238305383</v>
      </c>
      <c r="E42" s="27">
        <f>VLOOKUP(A42,[2]進出口值表查詢結果!$A$2:$C$73,3,0)</f>
        <v>4738</v>
      </c>
      <c r="F42" s="29">
        <f>E42/$E$67</f>
        <v>8.6862146217335026E-3</v>
      </c>
      <c r="G42" s="27">
        <f>VLOOKUP(A42,[2]進出口值表查詢結果!$A$2:$C$73,2,0)</f>
        <v>6306270</v>
      </c>
      <c r="H42" s="29">
        <f>G42/$G$67</f>
        <v>1.2369721743685369E-2</v>
      </c>
      <c r="I42" s="25">
        <f t="shared" si="1"/>
        <v>1330.9983115238497</v>
      </c>
    </row>
    <row r="43" spans="1:9">
      <c r="A43" s="453" t="s">
        <v>221</v>
      </c>
      <c r="B43" s="27">
        <f>VLOOKUP(A43,[1]進出口值表查詢結果!$A$2:$C$56,3,0)</f>
        <v>2115</v>
      </c>
      <c r="C43" s="28">
        <f>VLOOKUP(A43,[1]進出口值表查詢結果!$A$2:$C$59,2,0)</f>
        <v>1017280</v>
      </c>
      <c r="D43" s="23">
        <f t="shared" si="0"/>
        <v>480.98345153664303</v>
      </c>
      <c r="E43" s="27">
        <f>VLOOKUP(A43,[2]進出口值表查詢結果!$A$2:$C$73,3,0)</f>
        <v>13239</v>
      </c>
      <c r="F43" s="29">
        <f>E43/$E$67</f>
        <v>2.4271168294033314E-2</v>
      </c>
      <c r="G43" s="27">
        <f>VLOOKUP(A43,[2]進出口值表查詢結果!$A$2:$C$73,2,0)</f>
        <v>4925914</v>
      </c>
      <c r="H43" s="29">
        <f>G43/$G$67</f>
        <v>9.6621593292586863E-3</v>
      </c>
      <c r="I43" s="25">
        <f t="shared" si="1"/>
        <v>372.07598761235744</v>
      </c>
    </row>
    <row r="44" spans="1:9">
      <c r="A44" s="453" t="s">
        <v>222</v>
      </c>
      <c r="B44" s="27">
        <f>VLOOKUP(A44,[1]進出口值表查詢結果!$A$2:$C$56,3,0)</f>
        <v>13</v>
      </c>
      <c r="C44" s="28">
        <f>VLOOKUP(A44,[1]進出口值表查詢結果!$A$2:$C$59,2,0)</f>
        <v>15210</v>
      </c>
      <c r="D44" s="23">
        <f t="shared" si="0"/>
        <v>1170</v>
      </c>
      <c r="E44" s="27">
        <f>VLOOKUP(A44,[2]進出口值表查詢結果!$A$2:$C$73,3,0)</f>
        <v>43</v>
      </c>
      <c r="F44" s="29">
        <f>E44/$E$67</f>
        <v>7.8832255959168554E-5</v>
      </c>
      <c r="G44" s="27">
        <f>VLOOKUP(A44,[2]進出口值表查詢結果!$A$2:$C$73,2,0)</f>
        <v>51782</v>
      </c>
      <c r="H44" s="29">
        <f>G44/$G$67</f>
        <v>1.0157017243656167E-4</v>
      </c>
      <c r="I44" s="25">
        <f t="shared" si="1"/>
        <v>1204.2325581395348</v>
      </c>
    </row>
    <row r="45" spans="1:9">
      <c r="A45" s="454" t="s">
        <v>21</v>
      </c>
      <c r="B45" s="27">
        <v>0</v>
      </c>
      <c r="C45" s="27">
        <v>0</v>
      </c>
      <c r="D45" s="23">
        <f t="shared" si="0"/>
        <v>0</v>
      </c>
      <c r="E45" s="27">
        <v>0</v>
      </c>
      <c r="F45" s="29">
        <f>E45/$E$67</f>
        <v>0</v>
      </c>
      <c r="G45" s="27">
        <v>0</v>
      </c>
      <c r="H45" s="29">
        <f>G45/$G$67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7"/>
      <c r="F46" s="29"/>
      <c r="G46" s="27"/>
      <c r="H46" s="29"/>
      <c r="I46" s="25"/>
    </row>
    <row r="47" spans="1:9">
      <c r="A47" s="36" t="s">
        <v>22</v>
      </c>
      <c r="B47" s="33">
        <f>SUM(B48:B65)</f>
        <v>34036</v>
      </c>
      <c r="C47" s="33">
        <f>SUM(C48:C65)</f>
        <v>32989261</v>
      </c>
      <c r="D47" s="23">
        <f t="shared" si="0"/>
        <v>969.24612175343759</v>
      </c>
      <c r="E47" s="33">
        <f>SUM(E48:E65)</f>
        <v>148538</v>
      </c>
      <c r="F47" s="24">
        <f t="shared" ref="F47:F65" si="5">E47/$E$67</f>
        <v>0.27231594501541811</v>
      </c>
      <c r="G47" s="33">
        <f>SUM(G48:G65)</f>
        <v>142459504</v>
      </c>
      <c r="H47" s="24">
        <f t="shared" ref="H47:H66" si="6">G47/$G$67</f>
        <v>0.27943371029521935</v>
      </c>
      <c r="I47" s="25">
        <f t="shared" si="1"/>
        <v>959.0778386675463</v>
      </c>
    </row>
    <row r="48" spans="1:9">
      <c r="A48" s="485" t="s">
        <v>163</v>
      </c>
      <c r="B48" s="27">
        <f>VLOOKUP(A48,[1]進出口值表查詢結果!$A$2:$C$56,3,0)</f>
        <v>8297</v>
      </c>
      <c r="C48" s="28">
        <f>VLOOKUP(A48,[1]進出口值表查詢結果!$A$2:$C$59,2,0)</f>
        <v>6900361</v>
      </c>
      <c r="D48" s="23">
        <f t="shared" si="0"/>
        <v>831.66939857779926</v>
      </c>
      <c r="E48" s="27">
        <f>VLOOKUP(A48,[2]進出口值表查詢結果!$A$2:$C$73,3,0)</f>
        <v>32430</v>
      </c>
      <c r="F48" s="29">
        <f t="shared" ref="F48" si="7">E48/$E$67</f>
        <v>5.9454187459438056E-2</v>
      </c>
      <c r="G48" s="27">
        <f>VLOOKUP(A48,[2]進出口值表查詢結果!$A$2:$C$73,2,0)</f>
        <v>26274930</v>
      </c>
      <c r="H48" s="29">
        <f t="shared" ref="H48" si="8">G48/$G$67</f>
        <v>5.1538163277945762E-2</v>
      </c>
      <c r="I48" s="25">
        <f t="shared" si="1"/>
        <v>810.20444033302499</v>
      </c>
    </row>
    <row r="49" spans="1:9">
      <c r="A49" s="453" t="s">
        <v>223</v>
      </c>
      <c r="B49" s="27">
        <f>VLOOKUP(A49,[1]進出口值表查詢結果!$A$2:$C$56,3,0)</f>
        <v>3528</v>
      </c>
      <c r="C49" s="28">
        <f>VLOOKUP(A49,[1]進出口值表查詢結果!$A$2:$C$59,2,0)</f>
        <v>2671749</v>
      </c>
      <c r="D49" s="23">
        <f t="shared" si="0"/>
        <v>757.29846938775506</v>
      </c>
      <c r="E49" s="27">
        <f>VLOOKUP(A49,[2]進出口值表查詢結果!$A$2:$C$73,3,0)</f>
        <v>17949</v>
      </c>
      <c r="F49" s="29">
        <f t="shared" si="5"/>
        <v>3.290605028397945E-2</v>
      </c>
      <c r="G49" s="27">
        <f>VLOOKUP(A49,[2]進出口值表查詢結果!$A$2:$C$73,2,0)</f>
        <v>15021038</v>
      </c>
      <c r="H49" s="29">
        <f t="shared" si="6"/>
        <v>2.9463702055466098E-2</v>
      </c>
      <c r="I49" s="25">
        <f t="shared" si="1"/>
        <v>836.87325199175439</v>
      </c>
    </row>
    <row r="50" spans="1:9">
      <c r="A50" s="291" t="s">
        <v>224</v>
      </c>
      <c r="B50" s="27">
        <f>VLOOKUP(A50,[1]進出口值表查詢結果!$A$2:$C$56,3,0)</f>
        <v>340</v>
      </c>
      <c r="C50" s="28">
        <f>VLOOKUP(A50,[1]進出口值表查詢結果!$A$2:$C$59,2,0)</f>
        <v>329696</v>
      </c>
      <c r="D50" s="23">
        <f t="shared" si="0"/>
        <v>969.69411764705887</v>
      </c>
      <c r="E50" s="27">
        <f>VLOOKUP(A50,[2]進出口值表查詢結果!$A$2:$C$73,3,0)</f>
        <v>883</v>
      </c>
      <c r="F50" s="29">
        <f t="shared" si="5"/>
        <v>1.6188112095801357E-3</v>
      </c>
      <c r="G50" s="27">
        <f>VLOOKUP(A50,[2]進出口值表查詢結果!$A$2:$C$73,2,0)</f>
        <v>916458</v>
      </c>
      <c r="H50" s="29">
        <f t="shared" si="6"/>
        <v>1.7976284633823808E-3</v>
      </c>
      <c r="I50" s="25">
        <f t="shared" si="1"/>
        <v>1037.8912797281994</v>
      </c>
    </row>
    <row r="51" spans="1:9">
      <c r="A51" s="453" t="s">
        <v>225</v>
      </c>
      <c r="B51" s="27">
        <f>VLOOKUP(A51,[1]進出口值表查詢結果!$A$2:$C$56,3,0)</f>
        <v>423</v>
      </c>
      <c r="C51" s="28">
        <f>VLOOKUP(A51,[1]進出口值表查詢結果!$A$2:$C$59,2,0)</f>
        <v>596947</v>
      </c>
      <c r="D51" s="23">
        <f t="shared" si="0"/>
        <v>1411.2222222222222</v>
      </c>
      <c r="E51" s="27">
        <f>VLOOKUP(A51,[2]進出口值表查詢結果!$A$2:$C$73,3,0)</f>
        <v>2006</v>
      </c>
      <c r="F51" s="29">
        <f t="shared" si="5"/>
        <v>3.6776164059091191E-3</v>
      </c>
      <c r="G51" s="27">
        <f>VLOOKUP(A51,[2]進出口值表查詢結果!$A$2:$C$73,2,0)</f>
        <v>2910303</v>
      </c>
      <c r="H51" s="29">
        <f t="shared" si="6"/>
        <v>5.7085469381762529E-3</v>
      </c>
      <c r="I51" s="25">
        <f t="shared" si="1"/>
        <v>1450.7991026919242</v>
      </c>
    </row>
    <row r="52" spans="1:9">
      <c r="A52" s="454" t="s">
        <v>23</v>
      </c>
      <c r="B52" s="27">
        <f>VLOOKUP(A52,[1]進出口值表查詢結果!$A$2:$C$56,3,0)</f>
        <v>277</v>
      </c>
      <c r="C52" s="28">
        <f>VLOOKUP(A52,[1]進出口值表查詢結果!$A$2:$C$59,2,0)</f>
        <v>412220</v>
      </c>
      <c r="D52" s="23">
        <f t="shared" si="0"/>
        <v>1488.158844765343</v>
      </c>
      <c r="E52" s="27">
        <f>VLOOKUP(A52,[2]進出口值表查詢結果!$A$2:$C$73,3,0)</f>
        <v>317</v>
      </c>
      <c r="F52" s="29">
        <f t="shared" si="5"/>
        <v>5.8115872416410305E-4</v>
      </c>
      <c r="G52" s="27">
        <f>VLOOKUP(A52,[2]進出口值表查詢結果!$A$2:$C$73,2,0)</f>
        <v>474565</v>
      </c>
      <c r="H52" s="29">
        <f t="shared" si="6"/>
        <v>9.3085722610862639E-4</v>
      </c>
      <c r="I52" s="25">
        <f t="shared" si="1"/>
        <v>1497.0504731861199</v>
      </c>
    </row>
    <row r="53" spans="1:9">
      <c r="A53" s="453" t="s">
        <v>226</v>
      </c>
      <c r="B53" s="27">
        <f>VLOOKUP(A53,[1]進出口值表查詢結果!$A$2:$C$56,3,0)</f>
        <v>91</v>
      </c>
      <c r="C53" s="28">
        <f>VLOOKUP(A53,[1]進出口值表查詢結果!$A$2:$C$59,2,0)</f>
        <v>167346</v>
      </c>
      <c r="D53" s="23">
        <f t="shared" si="0"/>
        <v>1838.967032967033</v>
      </c>
      <c r="E53" s="27">
        <f>VLOOKUP(A53,[2]進出口值表查詢結果!$A$2:$C$73,3,0)</f>
        <v>1525</v>
      </c>
      <c r="F53" s="29">
        <f t="shared" si="5"/>
        <v>2.7957951241333037E-3</v>
      </c>
      <c r="G53" s="27">
        <f>VLOOKUP(A53,[2]進出口值表查詢結果!$A$2:$C$73,2,0)</f>
        <v>2405553</v>
      </c>
      <c r="H53" s="29">
        <f t="shared" si="6"/>
        <v>4.7184819631394736E-3</v>
      </c>
      <c r="I53" s="25">
        <f t="shared" si="1"/>
        <v>1577.4118032786885</v>
      </c>
    </row>
    <row r="54" spans="1:9">
      <c r="A54" s="454" t="s">
        <v>227</v>
      </c>
      <c r="B54" s="27">
        <f>VLOOKUP(A54,[1]進出口值表查詢結果!$A$2:$C$56,3,0)</f>
        <v>2548</v>
      </c>
      <c r="C54" s="28">
        <f>VLOOKUP(A54,[1]進出口值表查詢結果!$A$2:$C$59,2,0)</f>
        <v>3841787</v>
      </c>
      <c r="D54" s="23">
        <f t="shared" si="0"/>
        <v>1507.7656985871272</v>
      </c>
      <c r="E54" s="27">
        <f>VLOOKUP(A54,[2]進出口值表查詢結果!$A$2:$C$73,3,0)</f>
        <v>18337</v>
      </c>
      <c r="F54" s="29">
        <f t="shared" si="5"/>
        <v>3.361737389589009E-2</v>
      </c>
      <c r="G54" s="27">
        <f>VLOOKUP(A54,[2]進出口值表查詢結果!$A$2:$C$73,2,0)</f>
        <v>26706765</v>
      </c>
      <c r="H54" s="29">
        <f t="shared" si="6"/>
        <v>5.2385205791061179E-2</v>
      </c>
      <c r="I54" s="25">
        <f t="shared" si="1"/>
        <v>1456.4413480940175</v>
      </c>
    </row>
    <row r="55" spans="1:9">
      <c r="A55" s="454" t="s">
        <v>24</v>
      </c>
      <c r="B55" s="27">
        <f>VLOOKUP(A55,[1]進出口值表查詢結果!$A$2:$C$56,3,0)</f>
        <v>121</v>
      </c>
      <c r="C55" s="28">
        <f>VLOOKUP(A55,[1]進出口值表查詢結果!$A$2:$C$59,2,0)</f>
        <v>148817</v>
      </c>
      <c r="D55" s="23">
        <f t="shared" si="0"/>
        <v>1229.8925619834711</v>
      </c>
      <c r="E55" s="27">
        <f>VLOOKUP(A55,[2]進出口值表查詢結果!$A$2:$C$73,3,0)</f>
        <v>1881</v>
      </c>
      <c r="F55" s="29">
        <f t="shared" si="5"/>
        <v>3.4484528711440942E-3</v>
      </c>
      <c r="G55" s="27">
        <f>VLOOKUP(A55,[2]進出口值表查詢結果!$A$2:$C$73,2,0)</f>
        <v>2112989</v>
      </c>
      <c r="H55" s="29">
        <f t="shared" si="6"/>
        <v>4.1446189233045848E-3</v>
      </c>
      <c r="I55" s="25">
        <f t="shared" si="1"/>
        <v>1123.3328017012227</v>
      </c>
    </row>
    <row r="56" spans="1:9">
      <c r="A56" s="454" t="s">
        <v>228</v>
      </c>
      <c r="B56" s="27">
        <f>VLOOKUP(A56,[1]進出口值表查詢結果!$A$2:$C$56,3,0)</f>
        <v>14285</v>
      </c>
      <c r="C56" s="28">
        <f>VLOOKUP(A56,[1]進出口值表查詢結果!$A$2:$C$59,2,0)</f>
        <v>11373750</v>
      </c>
      <c r="D56" s="23">
        <f t="shared" si="0"/>
        <v>796.20231011550572</v>
      </c>
      <c r="E56" s="27">
        <f>VLOOKUP(A56,[2]進出口值表查詢結果!$A$2:$C$73,3,0)</f>
        <v>50722</v>
      </c>
      <c r="F56" s="29">
        <f t="shared" si="5"/>
        <v>9.2989062482812732E-2</v>
      </c>
      <c r="G56" s="27">
        <f>VLOOKUP(A56,[2]進出口值表查詢結果!$A$2:$C$73,2,0)</f>
        <v>37410336</v>
      </c>
      <c r="H56" s="29">
        <f t="shared" si="6"/>
        <v>7.3380214716111988E-2</v>
      </c>
      <c r="I56" s="25">
        <f t="shared" si="1"/>
        <v>737.55640550451483</v>
      </c>
    </row>
    <row r="57" spans="1:9">
      <c r="A57" s="456" t="s">
        <v>456</v>
      </c>
      <c r="B57" s="27">
        <f>VLOOKUP(A57,[1]進出口值表查詢結果!$A$2:$C$56,3,0)</f>
        <v>1954</v>
      </c>
      <c r="C57" s="28">
        <f>VLOOKUP(A57,[1]進出口值表查詢結果!$A$2:$C$59,2,0)</f>
        <v>2927104</v>
      </c>
      <c r="D57" s="23">
        <f t="shared" si="0"/>
        <v>1498.0061412487205</v>
      </c>
      <c r="E57" s="27">
        <f>VLOOKUP(A57,[2]進出口值表查詢結果!$A$2:$C$73,3,0)</f>
        <v>12216</v>
      </c>
      <c r="F57" s="29">
        <f t="shared" si="5"/>
        <v>2.2395693925516352E-2</v>
      </c>
      <c r="G57" s="27">
        <f>VLOOKUP(A57,[2]進出口值表查詢結果!$A$2:$C$73,2,0)</f>
        <v>13509009</v>
      </c>
      <c r="H57" s="29">
        <f t="shared" si="6"/>
        <v>2.6497863612395495E-2</v>
      </c>
      <c r="I57" s="25">
        <f t="shared" si="1"/>
        <v>1105.8455304518664</v>
      </c>
    </row>
    <row r="58" spans="1:9">
      <c r="A58" s="454" t="s">
        <v>25</v>
      </c>
      <c r="B58" s="27">
        <v>0</v>
      </c>
      <c r="C58" s="28">
        <v>0</v>
      </c>
      <c r="D58" s="23">
        <f t="shared" si="0"/>
        <v>0</v>
      </c>
      <c r="E58" s="27">
        <f>VLOOKUP(A58,[2]進出口值表查詢結果!$A$2:$C$73,3,0)</f>
        <v>1012</v>
      </c>
      <c r="F58" s="29">
        <f t="shared" si="5"/>
        <v>1.8553079774576414E-3</v>
      </c>
      <c r="G58" s="27">
        <f>VLOOKUP(A58,[2]進出口值表查詢結果!$A$2:$C$73,2,0)</f>
        <v>455264</v>
      </c>
      <c r="H58" s="29">
        <f t="shared" si="6"/>
        <v>8.9299839682049388E-4</v>
      </c>
      <c r="I58" s="25">
        <f t="shared" si="1"/>
        <v>449.86561264822137</v>
      </c>
    </row>
    <row r="59" spans="1:9">
      <c r="A59" s="454" t="s">
        <v>26</v>
      </c>
      <c r="B59" s="27">
        <v>0</v>
      </c>
      <c r="C59" s="27">
        <v>0</v>
      </c>
      <c r="D59" s="23">
        <f t="shared" si="0"/>
        <v>0</v>
      </c>
      <c r="E59" s="27">
        <f>VLOOKUP(A59,[2]進出口值表查詢結果!$A$2:$C$73,3,0)</f>
        <v>119</v>
      </c>
      <c r="F59" s="29">
        <f t="shared" si="5"/>
        <v>2.1816368509630369E-4</v>
      </c>
      <c r="G59" s="27">
        <f>VLOOKUP(A59,[2]進出口值表查詢結果!$A$2:$C$73,2,0)</f>
        <v>44021</v>
      </c>
      <c r="H59" s="29">
        <f t="shared" si="6"/>
        <v>8.6347003994242808E-5</v>
      </c>
      <c r="I59" s="25">
        <f t="shared" si="1"/>
        <v>369.92436974789916</v>
      </c>
    </row>
    <row r="60" spans="1:9">
      <c r="A60" s="454" t="s">
        <v>27</v>
      </c>
      <c r="B60" s="27">
        <f>VLOOKUP(A60,[1]進出口值表查詢結果!$A$2:$C$56,3,0)</f>
        <v>548</v>
      </c>
      <c r="C60" s="28">
        <f>VLOOKUP(A60,[1]進出口值表查詢結果!$A$2:$C$59,2,0)</f>
        <v>854533</v>
      </c>
      <c r="D60" s="23">
        <f t="shared" si="0"/>
        <v>1559.3667883211679</v>
      </c>
      <c r="E60" s="27">
        <f>VLOOKUP(A60,[2]進出口值表查詢結果!$A$2:$C$73,3,0)</f>
        <v>3445</v>
      </c>
      <c r="F60" s="29">
        <f t="shared" si="5"/>
        <v>6.3157470181240856E-3</v>
      </c>
      <c r="G60" s="27">
        <f>VLOOKUP(A60,[2]進出口值表查詢結果!$A$2:$C$73,2,0)</f>
        <v>5185015</v>
      </c>
      <c r="H60" s="29">
        <f t="shared" si="6"/>
        <v>1.0170384837127937E-2</v>
      </c>
      <c r="I60" s="25">
        <f t="shared" si="1"/>
        <v>1505.0841799709724</v>
      </c>
    </row>
    <row r="61" spans="1:9">
      <c r="A61" s="455" t="s">
        <v>229</v>
      </c>
      <c r="B61" s="27">
        <f>VLOOKUP(A61,[1]進出口值表查詢結果!$A$2:$C$56,3,0)</f>
        <v>382</v>
      </c>
      <c r="C61" s="28">
        <f>VLOOKUP(A61,[1]進出口值表查詢結果!$A$2:$C$59,2,0)</f>
        <v>914093</v>
      </c>
      <c r="D61" s="23">
        <f t="shared" si="0"/>
        <v>2392.913612565445</v>
      </c>
      <c r="E61" s="27">
        <f>VLOOKUP(A61,[2]進出口值表查詢結果!$A$2:$C$73,3,0)</f>
        <v>1625</v>
      </c>
      <c r="F61" s="29">
        <f t="shared" si="5"/>
        <v>2.9791259519453234E-3</v>
      </c>
      <c r="G61" s="27">
        <f>VLOOKUP(A61,[2]進出口值表查詢結果!$A$2:$C$73,2,0)</f>
        <v>3307003</v>
      </c>
      <c r="H61" s="29">
        <f t="shared" si="6"/>
        <v>6.4866722984478539E-3</v>
      </c>
      <c r="I61" s="25">
        <f t="shared" si="1"/>
        <v>2035.0787692307692</v>
      </c>
    </row>
    <row r="62" spans="1:9">
      <c r="A62" s="454" t="s">
        <v>28</v>
      </c>
      <c r="B62" s="27">
        <f>VLOOKUP(A62,[1]進出口值表查詢結果!$A$2:$C$56,3,0)</f>
        <v>975</v>
      </c>
      <c r="C62" s="28">
        <f>VLOOKUP(A62,[1]進出口值表查詢結果!$A$2:$C$59,2,0)</f>
        <v>1467512</v>
      </c>
      <c r="D62" s="23">
        <f t="shared" si="0"/>
        <v>1505.1405128205129</v>
      </c>
      <c r="E62" s="27">
        <f>VLOOKUP(A62,[2]進出口值表查詢結果!$A$2:$C$73,3,0)</f>
        <v>2049</v>
      </c>
      <c r="F62" s="29">
        <f t="shared" si="5"/>
        <v>3.7564486618682879E-3</v>
      </c>
      <c r="G62" s="27">
        <f>VLOOKUP(A62,[2]進出口值表查詢結果!$A$2:$C$73,2,0)</f>
        <v>3337476</v>
      </c>
      <c r="H62" s="29">
        <f t="shared" si="6"/>
        <v>6.5464449581492815E-3</v>
      </c>
      <c r="I62" s="25">
        <f t="shared" si="1"/>
        <v>1628.8316251830161</v>
      </c>
    </row>
    <row r="63" spans="1:9">
      <c r="A63" s="294" t="s">
        <v>230</v>
      </c>
      <c r="B63" s="27">
        <f>VLOOKUP(A63,[1]進出口值表查詢結果!$A$2:$C$56,3,0)</f>
        <v>7</v>
      </c>
      <c r="C63" s="28">
        <f>VLOOKUP(A63,[1]進出口值表查詢結果!$A$2:$C$59,2,0)</f>
        <v>38568</v>
      </c>
      <c r="D63" s="23">
        <f t="shared" si="0"/>
        <v>5509.7142857142853</v>
      </c>
      <c r="E63" s="27">
        <f>VLOOKUP(A63,[2]進出口值表查詢結果!$A$2:$C$73,3,0)</f>
        <v>58</v>
      </c>
      <c r="F63" s="29">
        <f t="shared" si="5"/>
        <v>1.0633188013097154E-4</v>
      </c>
      <c r="G63" s="27">
        <f>VLOOKUP(A63,[2]進出口值表查詢結果!$A$2:$C$73,2,0)</f>
        <v>183137</v>
      </c>
      <c r="H63" s="29">
        <f t="shared" si="6"/>
        <v>3.5922244543498889E-4</v>
      </c>
      <c r="I63" s="25">
        <f t="shared" si="1"/>
        <v>3157.5344827586205</v>
      </c>
    </row>
    <row r="64" spans="1:9">
      <c r="A64" s="454" t="s">
        <v>29</v>
      </c>
      <c r="B64" s="27">
        <f>VLOOKUP(A64,[1]進出口值表查詢結果!$A$2:$C$56,3,0)</f>
        <v>122</v>
      </c>
      <c r="C64" s="28">
        <f>VLOOKUP(A64,[1]進出口值表查詢結果!$A$2:$C$59,2,0)</f>
        <v>176118</v>
      </c>
      <c r="D64" s="23">
        <f t="shared" si="0"/>
        <v>1443.5901639344263</v>
      </c>
      <c r="E64" s="27">
        <f>VLOOKUP(A64,[2]進出口值表查詢結果!$A$2:$C$73,3,0)</f>
        <v>686</v>
      </c>
      <c r="F64" s="29">
        <f t="shared" si="5"/>
        <v>1.2576494787904565E-3</v>
      </c>
      <c r="G64" s="27">
        <f>VLOOKUP(A64,[2]進出口值表查詢結果!$A$2:$C$73,2,0)</f>
        <v>1236709</v>
      </c>
      <c r="H64" s="29">
        <f t="shared" si="6"/>
        <v>2.4257994357855576E-3</v>
      </c>
      <c r="I64" s="25">
        <f t="shared" si="1"/>
        <v>1802.7827988338192</v>
      </c>
    </row>
    <row r="65" spans="1:256">
      <c r="A65" s="294" t="s">
        <v>231</v>
      </c>
      <c r="B65" s="27">
        <f>VLOOKUP(A65,[1]進出口值表查詢結果!$A$2:$C$56,3,0)</f>
        <v>138</v>
      </c>
      <c r="C65" s="28">
        <f>VLOOKUP(A65,[1]進出口值表查詢結果!$A$2:$C$59,2,0)</f>
        <v>168660</v>
      </c>
      <c r="D65" s="23">
        <f t="shared" si="0"/>
        <v>1222.1739130434783</v>
      </c>
      <c r="E65" s="27">
        <f>VLOOKUP(A65,[2]進出口值表查詢結果!$A$2:$C$73,3,0)</f>
        <v>1278</v>
      </c>
      <c r="F65" s="29">
        <f t="shared" si="5"/>
        <v>2.3429679794376144E-3</v>
      </c>
      <c r="G65" s="27">
        <f>VLOOKUP(A65,[2]進出口值表查詢結果!$A$2:$C$73,2,0)</f>
        <v>968933</v>
      </c>
      <c r="H65" s="29">
        <f t="shared" si="6"/>
        <v>1.9005579523671354E-3</v>
      </c>
      <c r="I65" s="25">
        <f t="shared" si="1"/>
        <v>758.16353677621282</v>
      </c>
    </row>
    <row r="66" spans="1:256">
      <c r="A66" s="30" t="s">
        <v>30</v>
      </c>
      <c r="B66" s="27">
        <f>B67-B7-B12-B41-B47</f>
        <v>2179</v>
      </c>
      <c r="C66" s="27">
        <f>C67-C7-C12-C41-C47</f>
        <v>2060482</v>
      </c>
      <c r="D66" s="23">
        <f t="shared" si="0"/>
        <v>945.60899495181275</v>
      </c>
      <c r="E66" s="27">
        <f>E67-E47-E41-E12-E7</f>
        <v>11280</v>
      </c>
      <c r="F66" s="29">
        <f>E66/$E$67</f>
        <v>2.0679717377195844E-2</v>
      </c>
      <c r="G66" s="27">
        <f>G67-G47-G41-G12-G7</f>
        <v>13682669</v>
      </c>
      <c r="H66" s="29">
        <f t="shared" si="6"/>
        <v>2.6838496962697401E-2</v>
      </c>
      <c r="I66" s="25">
        <f t="shared" si="1"/>
        <v>1213.0025709219858</v>
      </c>
    </row>
    <row r="67" spans="1:256">
      <c r="A67" s="295" t="s">
        <v>402</v>
      </c>
      <c r="B67" s="27">
        <f>VLOOKUP(A67,[1]進出口值表查詢結果!$A$2:$C$56,3,0)</f>
        <v>133349</v>
      </c>
      <c r="C67" s="28">
        <f>VLOOKUP(A67,[1]進出口值表查詢結果!$A$2:$C$59,2,0)</f>
        <v>126190344</v>
      </c>
      <c r="D67" s="23">
        <f t="shared" si="0"/>
        <v>946.31638782443065</v>
      </c>
      <c r="E67" s="27">
        <f>VLOOKUP(A67,[2]進出口值表查詢結果!$A$2:$C$73,3,0)</f>
        <v>545462</v>
      </c>
      <c r="F67" s="24">
        <f>E67/$E$67</f>
        <v>1</v>
      </c>
      <c r="G67" s="27">
        <f>VLOOKUP(A67,[2]進出口值表查詢結果!$A$2:$C$73,2,0)</f>
        <v>509815025</v>
      </c>
      <c r="H67" s="24">
        <f>G67/$G$67</f>
        <v>1</v>
      </c>
      <c r="I67" s="25">
        <f t="shared" si="1"/>
        <v>934.64810564255617</v>
      </c>
    </row>
    <row r="68" spans="1:256">
      <c r="A68" s="38"/>
      <c r="B68" s="39"/>
      <c r="C68" s="39"/>
      <c r="D68" s="40"/>
      <c r="E68" s="39"/>
      <c r="F68" s="41"/>
      <c r="G68" s="39"/>
      <c r="H68" s="41"/>
      <c r="I68" s="40"/>
    </row>
    <row r="69" spans="1:256">
      <c r="A69" s="551" t="s">
        <v>153</v>
      </c>
      <c r="B69" s="552"/>
      <c r="C69" s="552"/>
      <c r="D69" s="552"/>
      <c r="E69" s="552"/>
      <c r="F69" s="552"/>
      <c r="G69" s="552"/>
      <c r="H69" s="552"/>
      <c r="I69" s="553"/>
    </row>
    <row r="70" spans="1:256">
      <c r="A70" s="8" t="s">
        <v>476</v>
      </c>
      <c r="B70" s="8" t="s">
        <v>477</v>
      </c>
      <c r="C70" s="8" t="s">
        <v>481</v>
      </c>
      <c r="D70" s="9" t="s">
        <v>1</v>
      </c>
      <c r="E70" s="10" t="s">
        <v>479</v>
      </c>
      <c r="F70" s="11" t="s">
        <v>2</v>
      </c>
      <c r="G70" s="73" t="s">
        <v>480</v>
      </c>
      <c r="H70" s="45" t="s">
        <v>2</v>
      </c>
      <c r="I70" s="43" t="s">
        <v>1</v>
      </c>
    </row>
    <row r="71" spans="1:256">
      <c r="A71" s="46"/>
      <c r="B71" s="47" t="s">
        <v>3</v>
      </c>
      <c r="C71" s="48" t="s">
        <v>4</v>
      </c>
      <c r="D71" s="542" t="s">
        <v>4</v>
      </c>
      <c r="E71" s="49" t="s">
        <v>3</v>
      </c>
      <c r="F71" s="44"/>
      <c r="G71" s="50" t="s">
        <v>4</v>
      </c>
      <c r="H71" s="51"/>
      <c r="I71" s="43" t="s">
        <v>4</v>
      </c>
    </row>
    <row r="72" spans="1:256">
      <c r="A72" s="32" t="s">
        <v>31</v>
      </c>
      <c r="B72" s="27">
        <v>4931</v>
      </c>
      <c r="C72" s="27">
        <v>1618535</v>
      </c>
      <c r="D72" s="23">
        <f t="shared" ref="D72" si="9">IF(B72,C72/B72,0)</f>
        <v>328.23666599067127</v>
      </c>
      <c r="E72" s="27">
        <v>11560</v>
      </c>
      <c r="F72" s="520">
        <v>1</v>
      </c>
      <c r="G72" s="27">
        <v>4887656</v>
      </c>
      <c r="H72" s="53">
        <v>1</v>
      </c>
      <c r="I72" s="52">
        <f t="shared" ref="I72" si="10">IF(E72,G72/E72,0)</f>
        <v>422.80761245674739</v>
      </c>
    </row>
    <row r="73" spans="1:256">
      <c r="A73" s="38"/>
      <c r="B73" s="39"/>
      <c r="C73" s="39"/>
      <c r="D73" s="40"/>
      <c r="E73" s="39"/>
      <c r="F73" s="41"/>
      <c r="G73" s="39"/>
      <c r="H73" s="41"/>
      <c r="I73" s="40"/>
    </row>
    <row r="74" spans="1:256" ht="14.25" customHeight="1">
      <c r="A74" s="54" t="s">
        <v>32</v>
      </c>
      <c r="B74" s="55"/>
      <c r="C74" s="55"/>
      <c r="D74" s="56"/>
      <c r="E74" s="55"/>
      <c r="F74" s="55"/>
      <c r="G74" s="55"/>
      <c r="H74" s="55"/>
      <c r="I74" s="56"/>
    </row>
    <row r="75" spans="1:256" s="13" customFormat="1">
      <c r="A75" s="5"/>
      <c r="B75" s="5"/>
      <c r="C75" s="39"/>
      <c r="D75" s="6"/>
      <c r="E75" s="5"/>
      <c r="F75" s="5"/>
      <c r="G75" s="5"/>
      <c r="H75" s="5"/>
      <c r="I75" s="6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5"/>
      <c r="AS75" s="55"/>
      <c r="AT75" s="55"/>
      <c r="AU75" s="55"/>
      <c r="AV75" s="55"/>
      <c r="AW75" s="55"/>
      <c r="AX75" s="55"/>
      <c r="AY75" s="55"/>
      <c r="AZ75" s="55"/>
      <c r="BA75" s="55"/>
      <c r="BB75" s="55"/>
      <c r="BC75" s="55"/>
      <c r="BD75" s="55"/>
      <c r="BE75" s="55"/>
      <c r="BF75" s="55"/>
      <c r="BG75" s="55"/>
      <c r="BH75" s="55"/>
      <c r="BI75" s="55"/>
      <c r="BJ75" s="55"/>
      <c r="BK75" s="55"/>
      <c r="BL75" s="55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5"/>
      <c r="CA75" s="55"/>
      <c r="CB75" s="55"/>
      <c r="CC75" s="55"/>
      <c r="CD75" s="55"/>
      <c r="CE75" s="55"/>
      <c r="CF75" s="55"/>
      <c r="CG75" s="55"/>
      <c r="CH75" s="55"/>
      <c r="CI75" s="55"/>
      <c r="CJ75" s="55"/>
      <c r="CK75" s="55"/>
      <c r="CL75" s="55"/>
      <c r="CM75" s="55"/>
      <c r="CN75" s="55"/>
      <c r="CO75" s="55"/>
      <c r="CP75" s="55"/>
      <c r="CQ75" s="55"/>
      <c r="CR75" s="55"/>
      <c r="CS75" s="55"/>
      <c r="CT75" s="55"/>
      <c r="CU75" s="55"/>
      <c r="CV75" s="55"/>
      <c r="CW75" s="55"/>
      <c r="CX75" s="55"/>
      <c r="CY75" s="55"/>
      <c r="CZ75" s="55"/>
      <c r="DA75" s="55"/>
      <c r="DB75" s="55"/>
      <c r="DC75" s="55"/>
      <c r="DD75" s="55"/>
      <c r="DE75" s="55"/>
      <c r="DF75" s="55"/>
      <c r="DG75" s="55"/>
      <c r="DH75" s="55"/>
      <c r="DI75" s="55"/>
      <c r="DJ75" s="55"/>
      <c r="DK75" s="55"/>
      <c r="DL75" s="55"/>
      <c r="DM75" s="55"/>
      <c r="DN75" s="55"/>
      <c r="DO75" s="55"/>
      <c r="DP75" s="55"/>
      <c r="DQ75" s="55"/>
      <c r="DR75" s="55"/>
      <c r="DS75" s="55"/>
      <c r="DT75" s="55"/>
      <c r="DU75" s="55"/>
      <c r="DV75" s="55"/>
      <c r="DW75" s="55"/>
      <c r="DX75" s="55"/>
      <c r="DY75" s="55"/>
      <c r="DZ75" s="55"/>
      <c r="EA75" s="55"/>
      <c r="EB75" s="55"/>
      <c r="EC75" s="55"/>
      <c r="ED75" s="55"/>
      <c r="EE75" s="55"/>
      <c r="EF75" s="55"/>
      <c r="EG75" s="55"/>
      <c r="EH75" s="55"/>
      <c r="EI75" s="55"/>
      <c r="EJ75" s="55"/>
      <c r="EK75" s="55"/>
      <c r="EL75" s="55"/>
      <c r="EM75" s="55"/>
      <c r="EN75" s="55"/>
      <c r="EO75" s="55"/>
      <c r="EP75" s="55"/>
      <c r="EQ75" s="55"/>
      <c r="ER75" s="55"/>
      <c r="ES75" s="55"/>
      <c r="ET75" s="55"/>
      <c r="EU75" s="55"/>
      <c r="EV75" s="55"/>
      <c r="EW75" s="55"/>
      <c r="EX75" s="55"/>
      <c r="EY75" s="55"/>
      <c r="EZ75" s="55"/>
      <c r="FA75" s="55"/>
      <c r="FB75" s="55"/>
      <c r="FC75" s="55"/>
      <c r="FD75" s="55"/>
      <c r="FE75" s="55"/>
      <c r="FF75" s="55"/>
      <c r="FG75" s="55"/>
      <c r="FH75" s="55"/>
      <c r="FI75" s="55"/>
      <c r="FJ75" s="55"/>
      <c r="FK75" s="55"/>
      <c r="FL75" s="55"/>
      <c r="FM75" s="55"/>
      <c r="FN75" s="55"/>
      <c r="FO75" s="55"/>
      <c r="FP75" s="55"/>
      <c r="FQ75" s="55"/>
      <c r="FR75" s="55"/>
      <c r="FS75" s="55"/>
      <c r="FT75" s="55"/>
      <c r="FU75" s="55"/>
      <c r="FV75" s="55"/>
      <c r="FW75" s="55"/>
      <c r="FX75" s="55"/>
      <c r="FY75" s="55"/>
      <c r="FZ75" s="55"/>
      <c r="GA75" s="55"/>
      <c r="GB75" s="55"/>
      <c r="GC75" s="55"/>
      <c r="GD75" s="55"/>
      <c r="GE75" s="55"/>
      <c r="GF75" s="55"/>
      <c r="GG75" s="55"/>
      <c r="GH75" s="55"/>
      <c r="GI75" s="55"/>
      <c r="GJ75" s="55"/>
      <c r="GK75" s="55"/>
      <c r="GL75" s="55"/>
      <c r="GM75" s="55"/>
      <c r="GN75" s="55"/>
      <c r="GO75" s="55"/>
      <c r="GP75" s="55"/>
      <c r="GQ75" s="55"/>
      <c r="GR75" s="55"/>
      <c r="GS75" s="55"/>
      <c r="GT75" s="55"/>
      <c r="GU75" s="55"/>
      <c r="GV75" s="55"/>
      <c r="GW75" s="55"/>
      <c r="GX75" s="55"/>
      <c r="GY75" s="55"/>
      <c r="GZ75" s="55"/>
      <c r="HA75" s="55"/>
      <c r="HB75" s="55"/>
      <c r="HC75" s="55"/>
      <c r="HD75" s="55"/>
      <c r="HE75" s="55"/>
      <c r="HF75" s="55"/>
      <c r="HG75" s="55"/>
      <c r="HH75" s="55"/>
      <c r="HI75" s="55"/>
      <c r="HJ75" s="55"/>
      <c r="HK75" s="55"/>
      <c r="HL75" s="55"/>
      <c r="HM75" s="55"/>
      <c r="HN75" s="55"/>
      <c r="HO75" s="55"/>
      <c r="HP75" s="55"/>
      <c r="HQ75" s="55"/>
      <c r="HR75" s="55"/>
      <c r="HS75" s="55"/>
      <c r="HT75" s="55"/>
      <c r="HU75" s="55"/>
      <c r="HV75" s="55"/>
      <c r="HW75" s="55"/>
      <c r="HX75" s="55"/>
      <c r="HY75" s="55"/>
      <c r="HZ75" s="55"/>
      <c r="IA75" s="55"/>
      <c r="IB75" s="55"/>
      <c r="IC75" s="55"/>
      <c r="ID75" s="55"/>
      <c r="IE75" s="55"/>
      <c r="IF75" s="55"/>
      <c r="IG75" s="55"/>
      <c r="IH75" s="55"/>
      <c r="II75" s="55"/>
      <c r="IJ75" s="55"/>
      <c r="IK75" s="55"/>
      <c r="IL75" s="55"/>
      <c r="IM75" s="55"/>
      <c r="IN75" s="55"/>
      <c r="IO75" s="55"/>
      <c r="IP75" s="55"/>
      <c r="IQ75" s="55"/>
      <c r="IR75" s="55"/>
      <c r="IS75" s="55"/>
      <c r="IT75" s="55"/>
      <c r="IU75" s="55"/>
      <c r="IV75" s="55"/>
    </row>
    <row r="76" spans="1:256">
      <c r="C76" s="39"/>
    </row>
  </sheetData>
  <mergeCells count="2">
    <mergeCell ref="A3:I3"/>
    <mergeCell ref="A69:I69"/>
  </mergeCells>
  <phoneticPr fontId="3" type="noConversion"/>
  <printOptions horizontalCentered="1"/>
  <pageMargins left="0.31496062992125984" right="0.31496062992125984" top="0.15748031496062992" bottom="0.15748031496062992" header="0.31496062992125984" footer="0.31496062992125984"/>
  <pageSetup paperSize="9" scale="6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J66"/>
  <sheetViews>
    <sheetView zoomScaleNormal="100" workbookViewId="0">
      <selection activeCell="A2" sqref="A2"/>
    </sheetView>
  </sheetViews>
  <sheetFormatPr defaultRowHeight="16.5"/>
  <cols>
    <col min="1" max="1" width="19.5" style="269" customWidth="1"/>
    <col min="2" max="2" width="12.125" style="269" customWidth="1"/>
    <col min="3" max="3" width="12.5" style="270" customWidth="1"/>
    <col min="4" max="4" width="13.75" style="271" customWidth="1"/>
    <col min="5" max="5" width="14.625" style="269" customWidth="1"/>
    <col min="6" max="6" width="15.125" style="270" customWidth="1"/>
    <col min="7" max="7" width="12.25" style="303" customWidth="1"/>
    <col min="8" max="8" width="12.5" style="269" customWidth="1"/>
    <col min="9" max="9" width="12.25" style="269" customWidth="1"/>
    <col min="10" max="10" width="11.625" style="269" customWidth="1"/>
    <col min="11" max="256" width="8.875" style="269"/>
    <col min="257" max="257" width="19.5" style="269" customWidth="1"/>
    <col min="258" max="259" width="12.125" style="269" customWidth="1"/>
    <col min="260" max="260" width="13.75" style="269" customWidth="1"/>
    <col min="261" max="261" width="14.625" style="269" customWidth="1"/>
    <col min="262" max="262" width="15.125" style="269" customWidth="1"/>
    <col min="263" max="263" width="12.25" style="269" customWidth="1"/>
    <col min="264" max="264" width="12.5" style="269" customWidth="1"/>
    <col min="265" max="265" width="12.25" style="269" customWidth="1"/>
    <col min="266" max="266" width="11.625" style="269" customWidth="1"/>
    <col min="267" max="512" width="8.875" style="269"/>
    <col min="513" max="513" width="19.5" style="269" customWidth="1"/>
    <col min="514" max="515" width="12.125" style="269" customWidth="1"/>
    <col min="516" max="516" width="13.75" style="269" customWidth="1"/>
    <col min="517" max="517" width="14.625" style="269" customWidth="1"/>
    <col min="518" max="518" width="15.125" style="269" customWidth="1"/>
    <col min="519" max="519" width="12.25" style="269" customWidth="1"/>
    <col min="520" max="520" width="12.5" style="269" customWidth="1"/>
    <col min="521" max="521" width="12.25" style="269" customWidth="1"/>
    <col min="522" max="522" width="11.625" style="269" customWidth="1"/>
    <col min="523" max="768" width="8.875" style="269"/>
    <col min="769" max="769" width="19.5" style="269" customWidth="1"/>
    <col min="770" max="771" width="12.125" style="269" customWidth="1"/>
    <col min="772" max="772" width="13.75" style="269" customWidth="1"/>
    <col min="773" max="773" width="14.625" style="269" customWidth="1"/>
    <col min="774" max="774" width="15.125" style="269" customWidth="1"/>
    <col min="775" max="775" width="12.25" style="269" customWidth="1"/>
    <col min="776" max="776" width="12.5" style="269" customWidth="1"/>
    <col min="777" max="777" width="12.25" style="269" customWidth="1"/>
    <col min="778" max="778" width="11.625" style="269" customWidth="1"/>
    <col min="779" max="1024" width="8.875" style="269"/>
    <col min="1025" max="1025" width="19.5" style="269" customWidth="1"/>
    <col min="1026" max="1027" width="12.125" style="269" customWidth="1"/>
    <col min="1028" max="1028" width="13.75" style="269" customWidth="1"/>
    <col min="1029" max="1029" width="14.625" style="269" customWidth="1"/>
    <col min="1030" max="1030" width="15.125" style="269" customWidth="1"/>
    <col min="1031" max="1031" width="12.25" style="269" customWidth="1"/>
    <col min="1032" max="1032" width="12.5" style="269" customWidth="1"/>
    <col min="1033" max="1033" width="12.25" style="269" customWidth="1"/>
    <col min="1034" max="1034" width="11.625" style="269" customWidth="1"/>
    <col min="1035" max="1280" width="8.875" style="269"/>
    <col min="1281" max="1281" width="19.5" style="269" customWidth="1"/>
    <col min="1282" max="1283" width="12.125" style="269" customWidth="1"/>
    <col min="1284" max="1284" width="13.75" style="269" customWidth="1"/>
    <col min="1285" max="1285" width="14.625" style="269" customWidth="1"/>
    <col min="1286" max="1286" width="15.125" style="269" customWidth="1"/>
    <col min="1287" max="1287" width="12.25" style="269" customWidth="1"/>
    <col min="1288" max="1288" width="12.5" style="269" customWidth="1"/>
    <col min="1289" max="1289" width="12.25" style="269" customWidth="1"/>
    <col min="1290" max="1290" width="11.625" style="269" customWidth="1"/>
    <col min="1291" max="1536" width="8.875" style="269"/>
    <col min="1537" max="1537" width="19.5" style="269" customWidth="1"/>
    <col min="1538" max="1539" width="12.125" style="269" customWidth="1"/>
    <col min="1540" max="1540" width="13.75" style="269" customWidth="1"/>
    <col min="1541" max="1541" width="14.625" style="269" customWidth="1"/>
    <col min="1542" max="1542" width="15.125" style="269" customWidth="1"/>
    <col min="1543" max="1543" width="12.25" style="269" customWidth="1"/>
    <col min="1544" max="1544" width="12.5" style="269" customWidth="1"/>
    <col min="1545" max="1545" width="12.25" style="269" customWidth="1"/>
    <col min="1546" max="1546" width="11.625" style="269" customWidth="1"/>
    <col min="1547" max="1792" width="8.875" style="269"/>
    <col min="1793" max="1793" width="19.5" style="269" customWidth="1"/>
    <col min="1794" max="1795" width="12.125" style="269" customWidth="1"/>
    <col min="1796" max="1796" width="13.75" style="269" customWidth="1"/>
    <col min="1797" max="1797" width="14.625" style="269" customWidth="1"/>
    <col min="1798" max="1798" width="15.125" style="269" customWidth="1"/>
    <col min="1799" max="1799" width="12.25" style="269" customWidth="1"/>
    <col min="1800" max="1800" width="12.5" style="269" customWidth="1"/>
    <col min="1801" max="1801" width="12.25" style="269" customWidth="1"/>
    <col min="1802" max="1802" width="11.625" style="269" customWidth="1"/>
    <col min="1803" max="2048" width="8.875" style="269"/>
    <col min="2049" max="2049" width="19.5" style="269" customWidth="1"/>
    <col min="2050" max="2051" width="12.125" style="269" customWidth="1"/>
    <col min="2052" max="2052" width="13.75" style="269" customWidth="1"/>
    <col min="2053" max="2053" width="14.625" style="269" customWidth="1"/>
    <col min="2054" max="2054" width="15.125" style="269" customWidth="1"/>
    <col min="2055" max="2055" width="12.25" style="269" customWidth="1"/>
    <col min="2056" max="2056" width="12.5" style="269" customWidth="1"/>
    <col min="2057" max="2057" width="12.25" style="269" customWidth="1"/>
    <col min="2058" max="2058" width="11.625" style="269" customWidth="1"/>
    <col min="2059" max="2304" width="8.875" style="269"/>
    <col min="2305" max="2305" width="19.5" style="269" customWidth="1"/>
    <col min="2306" max="2307" width="12.125" style="269" customWidth="1"/>
    <col min="2308" max="2308" width="13.75" style="269" customWidth="1"/>
    <col min="2309" max="2309" width="14.625" style="269" customWidth="1"/>
    <col min="2310" max="2310" width="15.125" style="269" customWidth="1"/>
    <col min="2311" max="2311" width="12.25" style="269" customWidth="1"/>
    <col min="2312" max="2312" width="12.5" style="269" customWidth="1"/>
    <col min="2313" max="2313" width="12.25" style="269" customWidth="1"/>
    <col min="2314" max="2314" width="11.625" style="269" customWidth="1"/>
    <col min="2315" max="2560" width="8.875" style="269"/>
    <col min="2561" max="2561" width="19.5" style="269" customWidth="1"/>
    <col min="2562" max="2563" width="12.125" style="269" customWidth="1"/>
    <col min="2564" max="2564" width="13.75" style="269" customWidth="1"/>
    <col min="2565" max="2565" width="14.625" style="269" customWidth="1"/>
    <col min="2566" max="2566" width="15.125" style="269" customWidth="1"/>
    <col min="2567" max="2567" width="12.25" style="269" customWidth="1"/>
    <col min="2568" max="2568" width="12.5" style="269" customWidth="1"/>
    <col min="2569" max="2569" width="12.25" style="269" customWidth="1"/>
    <col min="2570" max="2570" width="11.625" style="269" customWidth="1"/>
    <col min="2571" max="2816" width="8.875" style="269"/>
    <col min="2817" max="2817" width="19.5" style="269" customWidth="1"/>
    <col min="2818" max="2819" width="12.125" style="269" customWidth="1"/>
    <col min="2820" max="2820" width="13.75" style="269" customWidth="1"/>
    <col min="2821" max="2821" width="14.625" style="269" customWidth="1"/>
    <col min="2822" max="2822" width="15.125" style="269" customWidth="1"/>
    <col min="2823" max="2823" width="12.25" style="269" customWidth="1"/>
    <col min="2824" max="2824" width="12.5" style="269" customWidth="1"/>
    <col min="2825" max="2825" width="12.25" style="269" customWidth="1"/>
    <col min="2826" max="2826" width="11.625" style="269" customWidth="1"/>
    <col min="2827" max="3072" width="8.875" style="269"/>
    <col min="3073" max="3073" width="19.5" style="269" customWidth="1"/>
    <col min="3074" max="3075" width="12.125" style="269" customWidth="1"/>
    <col min="3076" max="3076" width="13.75" style="269" customWidth="1"/>
    <col min="3077" max="3077" width="14.625" style="269" customWidth="1"/>
    <col min="3078" max="3078" width="15.125" style="269" customWidth="1"/>
    <col min="3079" max="3079" width="12.25" style="269" customWidth="1"/>
    <col min="3080" max="3080" width="12.5" style="269" customWidth="1"/>
    <col min="3081" max="3081" width="12.25" style="269" customWidth="1"/>
    <col min="3082" max="3082" width="11.625" style="269" customWidth="1"/>
    <col min="3083" max="3328" width="8.875" style="269"/>
    <col min="3329" max="3329" width="19.5" style="269" customWidth="1"/>
    <col min="3330" max="3331" width="12.125" style="269" customWidth="1"/>
    <col min="3332" max="3332" width="13.75" style="269" customWidth="1"/>
    <col min="3333" max="3333" width="14.625" style="269" customWidth="1"/>
    <col min="3334" max="3334" width="15.125" style="269" customWidth="1"/>
    <col min="3335" max="3335" width="12.25" style="269" customWidth="1"/>
    <col min="3336" max="3336" width="12.5" style="269" customWidth="1"/>
    <col min="3337" max="3337" width="12.25" style="269" customWidth="1"/>
    <col min="3338" max="3338" width="11.625" style="269" customWidth="1"/>
    <col min="3339" max="3584" width="8.875" style="269"/>
    <col min="3585" max="3585" width="19.5" style="269" customWidth="1"/>
    <col min="3586" max="3587" width="12.125" style="269" customWidth="1"/>
    <col min="3588" max="3588" width="13.75" style="269" customWidth="1"/>
    <col min="3589" max="3589" width="14.625" style="269" customWidth="1"/>
    <col min="3590" max="3590" width="15.125" style="269" customWidth="1"/>
    <col min="3591" max="3591" width="12.25" style="269" customWidth="1"/>
    <col min="3592" max="3592" width="12.5" style="269" customWidth="1"/>
    <col min="3593" max="3593" width="12.25" style="269" customWidth="1"/>
    <col min="3594" max="3594" width="11.625" style="269" customWidth="1"/>
    <col min="3595" max="3840" width="8.875" style="269"/>
    <col min="3841" max="3841" width="19.5" style="269" customWidth="1"/>
    <col min="3842" max="3843" width="12.125" style="269" customWidth="1"/>
    <col min="3844" max="3844" width="13.75" style="269" customWidth="1"/>
    <col min="3845" max="3845" width="14.625" style="269" customWidth="1"/>
    <col min="3846" max="3846" width="15.125" style="269" customWidth="1"/>
    <col min="3847" max="3847" width="12.25" style="269" customWidth="1"/>
    <col min="3848" max="3848" width="12.5" style="269" customWidth="1"/>
    <col min="3849" max="3849" width="12.25" style="269" customWidth="1"/>
    <col min="3850" max="3850" width="11.625" style="269" customWidth="1"/>
    <col min="3851" max="4096" width="8.875" style="269"/>
    <col min="4097" max="4097" width="19.5" style="269" customWidth="1"/>
    <col min="4098" max="4099" width="12.125" style="269" customWidth="1"/>
    <col min="4100" max="4100" width="13.75" style="269" customWidth="1"/>
    <col min="4101" max="4101" width="14.625" style="269" customWidth="1"/>
    <col min="4102" max="4102" width="15.125" style="269" customWidth="1"/>
    <col min="4103" max="4103" width="12.25" style="269" customWidth="1"/>
    <col min="4104" max="4104" width="12.5" style="269" customWidth="1"/>
    <col min="4105" max="4105" width="12.25" style="269" customWidth="1"/>
    <col min="4106" max="4106" width="11.625" style="269" customWidth="1"/>
    <col min="4107" max="4352" width="8.875" style="269"/>
    <col min="4353" max="4353" width="19.5" style="269" customWidth="1"/>
    <col min="4354" max="4355" width="12.125" style="269" customWidth="1"/>
    <col min="4356" max="4356" width="13.75" style="269" customWidth="1"/>
    <col min="4357" max="4357" width="14.625" style="269" customWidth="1"/>
    <col min="4358" max="4358" width="15.125" style="269" customWidth="1"/>
    <col min="4359" max="4359" width="12.25" style="269" customWidth="1"/>
    <col min="4360" max="4360" width="12.5" style="269" customWidth="1"/>
    <col min="4361" max="4361" width="12.25" style="269" customWidth="1"/>
    <col min="4362" max="4362" width="11.625" style="269" customWidth="1"/>
    <col min="4363" max="4608" width="8.875" style="269"/>
    <col min="4609" max="4609" width="19.5" style="269" customWidth="1"/>
    <col min="4610" max="4611" width="12.125" style="269" customWidth="1"/>
    <col min="4612" max="4612" width="13.75" style="269" customWidth="1"/>
    <col min="4613" max="4613" width="14.625" style="269" customWidth="1"/>
    <col min="4614" max="4614" width="15.125" style="269" customWidth="1"/>
    <col min="4615" max="4615" width="12.25" style="269" customWidth="1"/>
    <col min="4616" max="4616" width="12.5" style="269" customWidth="1"/>
    <col min="4617" max="4617" width="12.25" style="269" customWidth="1"/>
    <col min="4618" max="4618" width="11.625" style="269" customWidth="1"/>
    <col min="4619" max="4864" width="8.875" style="269"/>
    <col min="4865" max="4865" width="19.5" style="269" customWidth="1"/>
    <col min="4866" max="4867" width="12.125" style="269" customWidth="1"/>
    <col min="4868" max="4868" width="13.75" style="269" customWidth="1"/>
    <col min="4869" max="4869" width="14.625" style="269" customWidth="1"/>
    <col min="4870" max="4870" width="15.125" style="269" customWidth="1"/>
    <col min="4871" max="4871" width="12.25" style="269" customWidth="1"/>
    <col min="4872" max="4872" width="12.5" style="269" customWidth="1"/>
    <col min="4873" max="4873" width="12.25" style="269" customWidth="1"/>
    <col min="4874" max="4874" width="11.625" style="269" customWidth="1"/>
    <col min="4875" max="5120" width="8.875" style="269"/>
    <col min="5121" max="5121" width="19.5" style="269" customWidth="1"/>
    <col min="5122" max="5123" width="12.125" style="269" customWidth="1"/>
    <col min="5124" max="5124" width="13.75" style="269" customWidth="1"/>
    <col min="5125" max="5125" width="14.625" style="269" customWidth="1"/>
    <col min="5126" max="5126" width="15.125" style="269" customWidth="1"/>
    <col min="5127" max="5127" width="12.25" style="269" customWidth="1"/>
    <col min="5128" max="5128" width="12.5" style="269" customWidth="1"/>
    <col min="5129" max="5129" width="12.25" style="269" customWidth="1"/>
    <col min="5130" max="5130" width="11.625" style="269" customWidth="1"/>
    <col min="5131" max="5376" width="8.875" style="269"/>
    <col min="5377" max="5377" width="19.5" style="269" customWidth="1"/>
    <col min="5378" max="5379" width="12.125" style="269" customWidth="1"/>
    <col min="5380" max="5380" width="13.75" style="269" customWidth="1"/>
    <col min="5381" max="5381" width="14.625" style="269" customWidth="1"/>
    <col min="5382" max="5382" width="15.125" style="269" customWidth="1"/>
    <col min="5383" max="5383" width="12.25" style="269" customWidth="1"/>
    <col min="5384" max="5384" width="12.5" style="269" customWidth="1"/>
    <col min="5385" max="5385" width="12.25" style="269" customWidth="1"/>
    <col min="5386" max="5386" width="11.625" style="269" customWidth="1"/>
    <col min="5387" max="5632" width="8.875" style="269"/>
    <col min="5633" max="5633" width="19.5" style="269" customWidth="1"/>
    <col min="5634" max="5635" width="12.125" style="269" customWidth="1"/>
    <col min="5636" max="5636" width="13.75" style="269" customWidth="1"/>
    <col min="5637" max="5637" width="14.625" style="269" customWidth="1"/>
    <col min="5638" max="5638" width="15.125" style="269" customWidth="1"/>
    <col min="5639" max="5639" width="12.25" style="269" customWidth="1"/>
    <col min="5640" max="5640" width="12.5" style="269" customWidth="1"/>
    <col min="5641" max="5641" width="12.25" style="269" customWidth="1"/>
    <col min="5642" max="5642" width="11.625" style="269" customWidth="1"/>
    <col min="5643" max="5888" width="8.875" style="269"/>
    <col min="5889" max="5889" width="19.5" style="269" customWidth="1"/>
    <col min="5890" max="5891" width="12.125" style="269" customWidth="1"/>
    <col min="5892" max="5892" width="13.75" style="269" customWidth="1"/>
    <col min="5893" max="5893" width="14.625" style="269" customWidth="1"/>
    <col min="5894" max="5894" width="15.125" style="269" customWidth="1"/>
    <col min="5895" max="5895" width="12.25" style="269" customWidth="1"/>
    <col min="5896" max="5896" width="12.5" style="269" customWidth="1"/>
    <col min="5897" max="5897" width="12.25" style="269" customWidth="1"/>
    <col min="5898" max="5898" width="11.625" style="269" customWidth="1"/>
    <col min="5899" max="6144" width="8.875" style="269"/>
    <col min="6145" max="6145" width="19.5" style="269" customWidth="1"/>
    <col min="6146" max="6147" width="12.125" style="269" customWidth="1"/>
    <col min="6148" max="6148" width="13.75" style="269" customWidth="1"/>
    <col min="6149" max="6149" width="14.625" style="269" customWidth="1"/>
    <col min="6150" max="6150" width="15.125" style="269" customWidth="1"/>
    <col min="6151" max="6151" width="12.25" style="269" customWidth="1"/>
    <col min="6152" max="6152" width="12.5" style="269" customWidth="1"/>
    <col min="6153" max="6153" width="12.25" style="269" customWidth="1"/>
    <col min="6154" max="6154" width="11.625" style="269" customWidth="1"/>
    <col min="6155" max="6400" width="8.875" style="269"/>
    <col min="6401" max="6401" width="19.5" style="269" customWidth="1"/>
    <col min="6402" max="6403" width="12.125" style="269" customWidth="1"/>
    <col min="6404" max="6404" width="13.75" style="269" customWidth="1"/>
    <col min="6405" max="6405" width="14.625" style="269" customWidth="1"/>
    <col min="6406" max="6406" width="15.125" style="269" customWidth="1"/>
    <col min="6407" max="6407" width="12.25" style="269" customWidth="1"/>
    <col min="6408" max="6408" width="12.5" style="269" customWidth="1"/>
    <col min="6409" max="6409" width="12.25" style="269" customWidth="1"/>
    <col min="6410" max="6410" width="11.625" style="269" customWidth="1"/>
    <col min="6411" max="6656" width="8.875" style="269"/>
    <col min="6657" max="6657" width="19.5" style="269" customWidth="1"/>
    <col min="6658" max="6659" width="12.125" style="269" customWidth="1"/>
    <col min="6660" max="6660" width="13.75" style="269" customWidth="1"/>
    <col min="6661" max="6661" width="14.625" style="269" customWidth="1"/>
    <col min="6662" max="6662" width="15.125" style="269" customWidth="1"/>
    <col min="6663" max="6663" width="12.25" style="269" customWidth="1"/>
    <col min="6664" max="6664" width="12.5" style="269" customWidth="1"/>
    <col min="6665" max="6665" width="12.25" style="269" customWidth="1"/>
    <col min="6666" max="6666" width="11.625" style="269" customWidth="1"/>
    <col min="6667" max="6912" width="8.875" style="269"/>
    <col min="6913" max="6913" width="19.5" style="269" customWidth="1"/>
    <col min="6914" max="6915" width="12.125" style="269" customWidth="1"/>
    <col min="6916" max="6916" width="13.75" style="269" customWidth="1"/>
    <col min="6917" max="6917" width="14.625" style="269" customWidth="1"/>
    <col min="6918" max="6918" width="15.125" style="269" customWidth="1"/>
    <col min="6919" max="6919" width="12.25" style="269" customWidth="1"/>
    <col min="6920" max="6920" width="12.5" style="269" customWidth="1"/>
    <col min="6921" max="6921" width="12.25" style="269" customWidth="1"/>
    <col min="6922" max="6922" width="11.625" style="269" customWidth="1"/>
    <col min="6923" max="7168" width="8.875" style="269"/>
    <col min="7169" max="7169" width="19.5" style="269" customWidth="1"/>
    <col min="7170" max="7171" width="12.125" style="269" customWidth="1"/>
    <col min="7172" max="7172" width="13.75" style="269" customWidth="1"/>
    <col min="7173" max="7173" width="14.625" style="269" customWidth="1"/>
    <col min="7174" max="7174" width="15.125" style="269" customWidth="1"/>
    <col min="7175" max="7175" width="12.25" style="269" customWidth="1"/>
    <col min="7176" max="7176" width="12.5" style="269" customWidth="1"/>
    <col min="7177" max="7177" width="12.25" style="269" customWidth="1"/>
    <col min="7178" max="7178" width="11.625" style="269" customWidth="1"/>
    <col min="7179" max="7424" width="8.875" style="269"/>
    <col min="7425" max="7425" width="19.5" style="269" customWidth="1"/>
    <col min="7426" max="7427" width="12.125" style="269" customWidth="1"/>
    <col min="7428" max="7428" width="13.75" style="269" customWidth="1"/>
    <col min="7429" max="7429" width="14.625" style="269" customWidth="1"/>
    <col min="7430" max="7430" width="15.125" style="269" customWidth="1"/>
    <col min="7431" max="7431" width="12.25" style="269" customWidth="1"/>
    <col min="7432" max="7432" width="12.5" style="269" customWidth="1"/>
    <col min="7433" max="7433" width="12.25" style="269" customWidth="1"/>
    <col min="7434" max="7434" width="11.625" style="269" customWidth="1"/>
    <col min="7435" max="7680" width="8.875" style="269"/>
    <col min="7681" max="7681" width="19.5" style="269" customWidth="1"/>
    <col min="7682" max="7683" width="12.125" style="269" customWidth="1"/>
    <col min="7684" max="7684" width="13.75" style="269" customWidth="1"/>
    <col min="7685" max="7685" width="14.625" style="269" customWidth="1"/>
    <col min="7686" max="7686" width="15.125" style="269" customWidth="1"/>
    <col min="7687" max="7687" width="12.25" style="269" customWidth="1"/>
    <col min="7688" max="7688" width="12.5" style="269" customWidth="1"/>
    <col min="7689" max="7689" width="12.25" style="269" customWidth="1"/>
    <col min="7690" max="7690" width="11.625" style="269" customWidth="1"/>
    <col min="7691" max="7936" width="8.875" style="269"/>
    <col min="7937" max="7937" width="19.5" style="269" customWidth="1"/>
    <col min="7938" max="7939" width="12.125" style="269" customWidth="1"/>
    <col min="7940" max="7940" width="13.75" style="269" customWidth="1"/>
    <col min="7941" max="7941" width="14.625" style="269" customWidth="1"/>
    <col min="7942" max="7942" width="15.125" style="269" customWidth="1"/>
    <col min="7943" max="7943" width="12.25" style="269" customWidth="1"/>
    <col min="7944" max="7944" width="12.5" style="269" customWidth="1"/>
    <col min="7945" max="7945" width="12.25" style="269" customWidth="1"/>
    <col min="7946" max="7946" width="11.625" style="269" customWidth="1"/>
    <col min="7947" max="8192" width="8.875" style="269"/>
    <col min="8193" max="8193" width="19.5" style="269" customWidth="1"/>
    <col min="8194" max="8195" width="12.125" style="269" customWidth="1"/>
    <col min="8196" max="8196" width="13.75" style="269" customWidth="1"/>
    <col min="8197" max="8197" width="14.625" style="269" customWidth="1"/>
    <col min="8198" max="8198" width="15.125" style="269" customWidth="1"/>
    <col min="8199" max="8199" width="12.25" style="269" customWidth="1"/>
    <col min="8200" max="8200" width="12.5" style="269" customWidth="1"/>
    <col min="8201" max="8201" width="12.25" style="269" customWidth="1"/>
    <col min="8202" max="8202" width="11.625" style="269" customWidth="1"/>
    <col min="8203" max="8448" width="8.875" style="269"/>
    <col min="8449" max="8449" width="19.5" style="269" customWidth="1"/>
    <col min="8450" max="8451" width="12.125" style="269" customWidth="1"/>
    <col min="8452" max="8452" width="13.75" style="269" customWidth="1"/>
    <col min="8453" max="8453" width="14.625" style="269" customWidth="1"/>
    <col min="8454" max="8454" width="15.125" style="269" customWidth="1"/>
    <col min="8455" max="8455" width="12.25" style="269" customWidth="1"/>
    <col min="8456" max="8456" width="12.5" style="269" customWidth="1"/>
    <col min="8457" max="8457" width="12.25" style="269" customWidth="1"/>
    <col min="8458" max="8458" width="11.625" style="269" customWidth="1"/>
    <col min="8459" max="8704" width="8.875" style="269"/>
    <col min="8705" max="8705" width="19.5" style="269" customWidth="1"/>
    <col min="8706" max="8707" width="12.125" style="269" customWidth="1"/>
    <col min="8708" max="8708" width="13.75" style="269" customWidth="1"/>
    <col min="8709" max="8709" width="14.625" style="269" customWidth="1"/>
    <col min="8710" max="8710" width="15.125" style="269" customWidth="1"/>
    <col min="8711" max="8711" width="12.25" style="269" customWidth="1"/>
    <col min="8712" max="8712" width="12.5" style="269" customWidth="1"/>
    <col min="8713" max="8713" width="12.25" style="269" customWidth="1"/>
    <col min="8714" max="8714" width="11.625" style="269" customWidth="1"/>
    <col min="8715" max="8960" width="8.875" style="269"/>
    <col min="8961" max="8961" width="19.5" style="269" customWidth="1"/>
    <col min="8962" max="8963" width="12.125" style="269" customWidth="1"/>
    <col min="8964" max="8964" width="13.75" style="269" customWidth="1"/>
    <col min="8965" max="8965" width="14.625" style="269" customWidth="1"/>
    <col min="8966" max="8966" width="15.125" style="269" customWidth="1"/>
    <col min="8967" max="8967" width="12.25" style="269" customWidth="1"/>
    <col min="8968" max="8968" width="12.5" style="269" customWidth="1"/>
    <col min="8969" max="8969" width="12.25" style="269" customWidth="1"/>
    <col min="8970" max="8970" width="11.625" style="269" customWidth="1"/>
    <col min="8971" max="9216" width="8.875" style="269"/>
    <col min="9217" max="9217" width="19.5" style="269" customWidth="1"/>
    <col min="9218" max="9219" width="12.125" style="269" customWidth="1"/>
    <col min="9220" max="9220" width="13.75" style="269" customWidth="1"/>
    <col min="9221" max="9221" width="14.625" style="269" customWidth="1"/>
    <col min="9222" max="9222" width="15.125" style="269" customWidth="1"/>
    <col min="9223" max="9223" width="12.25" style="269" customWidth="1"/>
    <col min="9224" max="9224" width="12.5" style="269" customWidth="1"/>
    <col min="9225" max="9225" width="12.25" style="269" customWidth="1"/>
    <col min="9226" max="9226" width="11.625" style="269" customWidth="1"/>
    <col min="9227" max="9472" width="8.875" style="269"/>
    <col min="9473" max="9473" width="19.5" style="269" customWidth="1"/>
    <col min="9474" max="9475" width="12.125" style="269" customWidth="1"/>
    <col min="9476" max="9476" width="13.75" style="269" customWidth="1"/>
    <col min="9477" max="9477" width="14.625" style="269" customWidth="1"/>
    <col min="9478" max="9478" width="15.125" style="269" customWidth="1"/>
    <col min="9479" max="9479" width="12.25" style="269" customWidth="1"/>
    <col min="9480" max="9480" width="12.5" style="269" customWidth="1"/>
    <col min="9481" max="9481" width="12.25" style="269" customWidth="1"/>
    <col min="9482" max="9482" width="11.625" style="269" customWidth="1"/>
    <col min="9483" max="9728" width="8.875" style="269"/>
    <col min="9729" max="9729" width="19.5" style="269" customWidth="1"/>
    <col min="9730" max="9731" width="12.125" style="269" customWidth="1"/>
    <col min="9732" max="9732" width="13.75" style="269" customWidth="1"/>
    <col min="9733" max="9733" width="14.625" style="269" customWidth="1"/>
    <col min="9734" max="9734" width="15.125" style="269" customWidth="1"/>
    <col min="9735" max="9735" width="12.25" style="269" customWidth="1"/>
    <col min="9736" max="9736" width="12.5" style="269" customWidth="1"/>
    <col min="9737" max="9737" width="12.25" style="269" customWidth="1"/>
    <col min="9738" max="9738" width="11.625" style="269" customWidth="1"/>
    <col min="9739" max="9984" width="8.875" style="269"/>
    <col min="9985" max="9985" width="19.5" style="269" customWidth="1"/>
    <col min="9986" max="9987" width="12.125" style="269" customWidth="1"/>
    <col min="9988" max="9988" width="13.75" style="269" customWidth="1"/>
    <col min="9989" max="9989" width="14.625" style="269" customWidth="1"/>
    <col min="9990" max="9990" width="15.125" style="269" customWidth="1"/>
    <col min="9991" max="9991" width="12.25" style="269" customWidth="1"/>
    <col min="9992" max="9992" width="12.5" style="269" customWidth="1"/>
    <col min="9993" max="9993" width="12.25" style="269" customWidth="1"/>
    <col min="9994" max="9994" width="11.625" style="269" customWidth="1"/>
    <col min="9995" max="10240" width="8.875" style="269"/>
    <col min="10241" max="10241" width="19.5" style="269" customWidth="1"/>
    <col min="10242" max="10243" width="12.125" style="269" customWidth="1"/>
    <col min="10244" max="10244" width="13.75" style="269" customWidth="1"/>
    <col min="10245" max="10245" width="14.625" style="269" customWidth="1"/>
    <col min="10246" max="10246" width="15.125" style="269" customWidth="1"/>
    <col min="10247" max="10247" width="12.25" style="269" customWidth="1"/>
    <col min="10248" max="10248" width="12.5" style="269" customWidth="1"/>
    <col min="10249" max="10249" width="12.25" style="269" customWidth="1"/>
    <col min="10250" max="10250" width="11.625" style="269" customWidth="1"/>
    <col min="10251" max="10496" width="8.875" style="269"/>
    <col min="10497" max="10497" width="19.5" style="269" customWidth="1"/>
    <col min="10498" max="10499" width="12.125" style="269" customWidth="1"/>
    <col min="10500" max="10500" width="13.75" style="269" customWidth="1"/>
    <col min="10501" max="10501" width="14.625" style="269" customWidth="1"/>
    <col min="10502" max="10502" width="15.125" style="269" customWidth="1"/>
    <col min="10503" max="10503" width="12.25" style="269" customWidth="1"/>
    <col min="10504" max="10504" width="12.5" style="269" customWidth="1"/>
    <col min="10505" max="10505" width="12.25" style="269" customWidth="1"/>
    <col min="10506" max="10506" width="11.625" style="269" customWidth="1"/>
    <col min="10507" max="10752" width="8.875" style="269"/>
    <col min="10753" max="10753" width="19.5" style="269" customWidth="1"/>
    <col min="10754" max="10755" width="12.125" style="269" customWidth="1"/>
    <col min="10756" max="10756" width="13.75" style="269" customWidth="1"/>
    <col min="10757" max="10757" width="14.625" style="269" customWidth="1"/>
    <col min="10758" max="10758" width="15.125" style="269" customWidth="1"/>
    <col min="10759" max="10759" width="12.25" style="269" customWidth="1"/>
    <col min="10760" max="10760" width="12.5" style="269" customWidth="1"/>
    <col min="10761" max="10761" width="12.25" style="269" customWidth="1"/>
    <col min="10762" max="10762" width="11.625" style="269" customWidth="1"/>
    <col min="10763" max="11008" width="8.875" style="269"/>
    <col min="11009" max="11009" width="19.5" style="269" customWidth="1"/>
    <col min="11010" max="11011" width="12.125" style="269" customWidth="1"/>
    <col min="11012" max="11012" width="13.75" style="269" customWidth="1"/>
    <col min="11013" max="11013" width="14.625" style="269" customWidth="1"/>
    <col min="11014" max="11014" width="15.125" style="269" customWidth="1"/>
    <col min="11015" max="11015" width="12.25" style="269" customWidth="1"/>
    <col min="11016" max="11016" width="12.5" style="269" customWidth="1"/>
    <col min="11017" max="11017" width="12.25" style="269" customWidth="1"/>
    <col min="11018" max="11018" width="11.625" style="269" customWidth="1"/>
    <col min="11019" max="11264" width="8.875" style="269"/>
    <col min="11265" max="11265" width="19.5" style="269" customWidth="1"/>
    <col min="11266" max="11267" width="12.125" style="269" customWidth="1"/>
    <col min="11268" max="11268" width="13.75" style="269" customWidth="1"/>
    <col min="11269" max="11269" width="14.625" style="269" customWidth="1"/>
    <col min="11270" max="11270" width="15.125" style="269" customWidth="1"/>
    <col min="11271" max="11271" width="12.25" style="269" customWidth="1"/>
    <col min="11272" max="11272" width="12.5" style="269" customWidth="1"/>
    <col min="11273" max="11273" width="12.25" style="269" customWidth="1"/>
    <col min="11274" max="11274" width="11.625" style="269" customWidth="1"/>
    <col min="11275" max="11520" width="8.875" style="269"/>
    <col min="11521" max="11521" width="19.5" style="269" customWidth="1"/>
    <col min="11522" max="11523" width="12.125" style="269" customWidth="1"/>
    <col min="11524" max="11524" width="13.75" style="269" customWidth="1"/>
    <col min="11525" max="11525" width="14.625" style="269" customWidth="1"/>
    <col min="11526" max="11526" width="15.125" style="269" customWidth="1"/>
    <col min="11527" max="11527" width="12.25" style="269" customWidth="1"/>
    <col min="11528" max="11528" width="12.5" style="269" customWidth="1"/>
    <col min="11529" max="11529" width="12.25" style="269" customWidth="1"/>
    <col min="11530" max="11530" width="11.625" style="269" customWidth="1"/>
    <col min="11531" max="11776" width="8.875" style="269"/>
    <col min="11777" max="11777" width="19.5" style="269" customWidth="1"/>
    <col min="11778" max="11779" width="12.125" style="269" customWidth="1"/>
    <col min="11780" max="11780" width="13.75" style="269" customWidth="1"/>
    <col min="11781" max="11781" width="14.625" style="269" customWidth="1"/>
    <col min="11782" max="11782" width="15.125" style="269" customWidth="1"/>
    <col min="11783" max="11783" width="12.25" style="269" customWidth="1"/>
    <col min="11784" max="11784" width="12.5" style="269" customWidth="1"/>
    <col min="11785" max="11785" width="12.25" style="269" customWidth="1"/>
    <col min="11786" max="11786" width="11.625" style="269" customWidth="1"/>
    <col min="11787" max="12032" width="8.875" style="269"/>
    <col min="12033" max="12033" width="19.5" style="269" customWidth="1"/>
    <col min="12034" max="12035" width="12.125" style="269" customWidth="1"/>
    <col min="12036" max="12036" width="13.75" style="269" customWidth="1"/>
    <col min="12037" max="12037" width="14.625" style="269" customWidth="1"/>
    <col min="12038" max="12038" width="15.125" style="269" customWidth="1"/>
    <col min="12039" max="12039" width="12.25" style="269" customWidth="1"/>
    <col min="12040" max="12040" width="12.5" style="269" customWidth="1"/>
    <col min="12041" max="12041" width="12.25" style="269" customWidth="1"/>
    <col min="12042" max="12042" width="11.625" style="269" customWidth="1"/>
    <col min="12043" max="12288" width="8.875" style="269"/>
    <col min="12289" max="12289" width="19.5" style="269" customWidth="1"/>
    <col min="12290" max="12291" width="12.125" style="269" customWidth="1"/>
    <col min="12292" max="12292" width="13.75" style="269" customWidth="1"/>
    <col min="12293" max="12293" width="14.625" style="269" customWidth="1"/>
    <col min="12294" max="12294" width="15.125" style="269" customWidth="1"/>
    <col min="12295" max="12295" width="12.25" style="269" customWidth="1"/>
    <col min="12296" max="12296" width="12.5" style="269" customWidth="1"/>
    <col min="12297" max="12297" width="12.25" style="269" customWidth="1"/>
    <col min="12298" max="12298" width="11.625" style="269" customWidth="1"/>
    <col min="12299" max="12544" width="8.875" style="269"/>
    <col min="12545" max="12545" width="19.5" style="269" customWidth="1"/>
    <col min="12546" max="12547" width="12.125" style="269" customWidth="1"/>
    <col min="12548" max="12548" width="13.75" style="269" customWidth="1"/>
    <col min="12549" max="12549" width="14.625" style="269" customWidth="1"/>
    <col min="12550" max="12550" width="15.125" style="269" customWidth="1"/>
    <col min="12551" max="12551" width="12.25" style="269" customWidth="1"/>
    <col min="12552" max="12552" width="12.5" style="269" customWidth="1"/>
    <col min="12553" max="12553" width="12.25" style="269" customWidth="1"/>
    <col min="12554" max="12554" width="11.625" style="269" customWidth="1"/>
    <col min="12555" max="12800" width="8.875" style="269"/>
    <col min="12801" max="12801" width="19.5" style="269" customWidth="1"/>
    <col min="12802" max="12803" width="12.125" style="269" customWidth="1"/>
    <col min="12804" max="12804" width="13.75" style="269" customWidth="1"/>
    <col min="12805" max="12805" width="14.625" style="269" customWidth="1"/>
    <col min="12806" max="12806" width="15.125" style="269" customWidth="1"/>
    <col min="12807" max="12807" width="12.25" style="269" customWidth="1"/>
    <col min="12808" max="12808" width="12.5" style="269" customWidth="1"/>
    <col min="12809" max="12809" width="12.25" style="269" customWidth="1"/>
    <col min="12810" max="12810" width="11.625" style="269" customWidth="1"/>
    <col min="12811" max="13056" width="8.875" style="269"/>
    <col min="13057" max="13057" width="19.5" style="269" customWidth="1"/>
    <col min="13058" max="13059" width="12.125" style="269" customWidth="1"/>
    <col min="13060" max="13060" width="13.75" style="269" customWidth="1"/>
    <col min="13061" max="13061" width="14.625" style="269" customWidth="1"/>
    <col min="13062" max="13062" width="15.125" style="269" customWidth="1"/>
    <col min="13063" max="13063" width="12.25" style="269" customWidth="1"/>
    <col min="13064" max="13064" width="12.5" style="269" customWidth="1"/>
    <col min="13065" max="13065" width="12.25" style="269" customWidth="1"/>
    <col min="13066" max="13066" width="11.625" style="269" customWidth="1"/>
    <col min="13067" max="13312" width="8.875" style="269"/>
    <col min="13313" max="13313" width="19.5" style="269" customWidth="1"/>
    <col min="13314" max="13315" width="12.125" style="269" customWidth="1"/>
    <col min="13316" max="13316" width="13.75" style="269" customWidth="1"/>
    <col min="13317" max="13317" width="14.625" style="269" customWidth="1"/>
    <col min="13318" max="13318" width="15.125" style="269" customWidth="1"/>
    <col min="13319" max="13319" width="12.25" style="269" customWidth="1"/>
    <col min="13320" max="13320" width="12.5" style="269" customWidth="1"/>
    <col min="13321" max="13321" width="12.25" style="269" customWidth="1"/>
    <col min="13322" max="13322" width="11.625" style="269" customWidth="1"/>
    <col min="13323" max="13568" width="8.875" style="269"/>
    <col min="13569" max="13569" width="19.5" style="269" customWidth="1"/>
    <col min="13570" max="13571" width="12.125" style="269" customWidth="1"/>
    <col min="13572" max="13572" width="13.75" style="269" customWidth="1"/>
    <col min="13573" max="13573" width="14.625" style="269" customWidth="1"/>
    <col min="13574" max="13574" width="15.125" style="269" customWidth="1"/>
    <col min="13575" max="13575" width="12.25" style="269" customWidth="1"/>
    <col min="13576" max="13576" width="12.5" style="269" customWidth="1"/>
    <col min="13577" max="13577" width="12.25" style="269" customWidth="1"/>
    <col min="13578" max="13578" width="11.625" style="269" customWidth="1"/>
    <col min="13579" max="13824" width="8.875" style="269"/>
    <col min="13825" max="13825" width="19.5" style="269" customWidth="1"/>
    <col min="13826" max="13827" width="12.125" style="269" customWidth="1"/>
    <col min="13828" max="13828" width="13.75" style="269" customWidth="1"/>
    <col min="13829" max="13829" width="14.625" style="269" customWidth="1"/>
    <col min="13830" max="13830" width="15.125" style="269" customWidth="1"/>
    <col min="13831" max="13831" width="12.25" style="269" customWidth="1"/>
    <col min="13832" max="13832" width="12.5" style="269" customWidth="1"/>
    <col min="13833" max="13833" width="12.25" style="269" customWidth="1"/>
    <col min="13834" max="13834" width="11.625" style="269" customWidth="1"/>
    <col min="13835" max="14080" width="8.875" style="269"/>
    <col min="14081" max="14081" width="19.5" style="269" customWidth="1"/>
    <col min="14082" max="14083" width="12.125" style="269" customWidth="1"/>
    <col min="14084" max="14084" width="13.75" style="269" customWidth="1"/>
    <col min="14085" max="14085" width="14.625" style="269" customWidth="1"/>
    <col min="14086" max="14086" width="15.125" style="269" customWidth="1"/>
    <col min="14087" max="14087" width="12.25" style="269" customWidth="1"/>
    <col min="14088" max="14088" width="12.5" style="269" customWidth="1"/>
    <col min="14089" max="14089" width="12.25" style="269" customWidth="1"/>
    <col min="14090" max="14090" width="11.625" style="269" customWidth="1"/>
    <col min="14091" max="14336" width="8.875" style="269"/>
    <col min="14337" max="14337" width="19.5" style="269" customWidth="1"/>
    <col min="14338" max="14339" width="12.125" style="269" customWidth="1"/>
    <col min="14340" max="14340" width="13.75" style="269" customWidth="1"/>
    <col min="14341" max="14341" width="14.625" style="269" customWidth="1"/>
    <col min="14342" max="14342" width="15.125" style="269" customWidth="1"/>
    <col min="14343" max="14343" width="12.25" style="269" customWidth="1"/>
    <col min="14344" max="14344" width="12.5" style="269" customWidth="1"/>
    <col min="14345" max="14345" width="12.25" style="269" customWidth="1"/>
    <col min="14346" max="14346" width="11.625" style="269" customWidth="1"/>
    <col min="14347" max="14592" width="8.875" style="269"/>
    <col min="14593" max="14593" width="19.5" style="269" customWidth="1"/>
    <col min="14594" max="14595" width="12.125" style="269" customWidth="1"/>
    <col min="14596" max="14596" width="13.75" style="269" customWidth="1"/>
    <col min="14597" max="14597" width="14.625" style="269" customWidth="1"/>
    <col min="14598" max="14598" width="15.125" style="269" customWidth="1"/>
    <col min="14599" max="14599" width="12.25" style="269" customWidth="1"/>
    <col min="14600" max="14600" width="12.5" style="269" customWidth="1"/>
    <col min="14601" max="14601" width="12.25" style="269" customWidth="1"/>
    <col min="14602" max="14602" width="11.625" style="269" customWidth="1"/>
    <col min="14603" max="14848" width="8.875" style="269"/>
    <col min="14849" max="14849" width="19.5" style="269" customWidth="1"/>
    <col min="14850" max="14851" width="12.125" style="269" customWidth="1"/>
    <col min="14852" max="14852" width="13.75" style="269" customWidth="1"/>
    <col min="14853" max="14853" width="14.625" style="269" customWidth="1"/>
    <col min="14854" max="14854" width="15.125" style="269" customWidth="1"/>
    <col min="14855" max="14855" width="12.25" style="269" customWidth="1"/>
    <col min="14856" max="14856" width="12.5" style="269" customWidth="1"/>
    <col min="14857" max="14857" width="12.25" style="269" customWidth="1"/>
    <col min="14858" max="14858" width="11.625" style="269" customWidth="1"/>
    <col min="14859" max="15104" width="8.875" style="269"/>
    <col min="15105" max="15105" width="19.5" style="269" customWidth="1"/>
    <col min="15106" max="15107" width="12.125" style="269" customWidth="1"/>
    <col min="15108" max="15108" width="13.75" style="269" customWidth="1"/>
    <col min="15109" max="15109" width="14.625" style="269" customWidth="1"/>
    <col min="15110" max="15110" width="15.125" style="269" customWidth="1"/>
    <col min="15111" max="15111" width="12.25" style="269" customWidth="1"/>
    <col min="15112" max="15112" width="12.5" style="269" customWidth="1"/>
    <col min="15113" max="15113" width="12.25" style="269" customWidth="1"/>
    <col min="15114" max="15114" width="11.625" style="269" customWidth="1"/>
    <col min="15115" max="15360" width="8.875" style="269"/>
    <col min="15361" max="15361" width="19.5" style="269" customWidth="1"/>
    <col min="15362" max="15363" width="12.125" style="269" customWidth="1"/>
    <col min="15364" max="15364" width="13.75" style="269" customWidth="1"/>
    <col min="15365" max="15365" width="14.625" style="269" customWidth="1"/>
    <col min="15366" max="15366" width="15.125" style="269" customWidth="1"/>
    <col min="15367" max="15367" width="12.25" style="269" customWidth="1"/>
    <col min="15368" max="15368" width="12.5" style="269" customWidth="1"/>
    <col min="15369" max="15369" width="12.25" style="269" customWidth="1"/>
    <col min="15370" max="15370" width="11.625" style="269" customWidth="1"/>
    <col min="15371" max="15616" width="8.875" style="269"/>
    <col min="15617" max="15617" width="19.5" style="269" customWidth="1"/>
    <col min="15618" max="15619" width="12.125" style="269" customWidth="1"/>
    <col min="15620" max="15620" width="13.75" style="269" customWidth="1"/>
    <col min="15621" max="15621" width="14.625" style="269" customWidth="1"/>
    <col min="15622" max="15622" width="15.125" style="269" customWidth="1"/>
    <col min="15623" max="15623" width="12.25" style="269" customWidth="1"/>
    <col min="15624" max="15624" width="12.5" style="269" customWidth="1"/>
    <col min="15625" max="15625" width="12.25" style="269" customWidth="1"/>
    <col min="15626" max="15626" width="11.625" style="269" customWidth="1"/>
    <col min="15627" max="15872" width="8.875" style="269"/>
    <col min="15873" max="15873" width="19.5" style="269" customWidth="1"/>
    <col min="15874" max="15875" width="12.125" style="269" customWidth="1"/>
    <col min="15876" max="15876" width="13.75" style="269" customWidth="1"/>
    <col min="15877" max="15877" width="14.625" style="269" customWidth="1"/>
    <col min="15878" max="15878" width="15.125" style="269" customWidth="1"/>
    <col min="15879" max="15879" width="12.25" style="269" customWidth="1"/>
    <col min="15880" max="15880" width="12.5" style="269" customWidth="1"/>
    <col min="15881" max="15881" width="12.25" style="269" customWidth="1"/>
    <col min="15882" max="15882" width="11.625" style="269" customWidth="1"/>
    <col min="15883" max="16128" width="8.875" style="269"/>
    <col min="16129" max="16129" width="19.5" style="269" customWidth="1"/>
    <col min="16130" max="16131" width="12.125" style="269" customWidth="1"/>
    <col min="16132" max="16132" width="13.75" style="269" customWidth="1"/>
    <col min="16133" max="16133" width="14.625" style="269" customWidth="1"/>
    <col min="16134" max="16134" width="15.125" style="269" customWidth="1"/>
    <col min="16135" max="16135" width="12.25" style="269" customWidth="1"/>
    <col min="16136" max="16136" width="12.5" style="269" customWidth="1"/>
    <col min="16137" max="16137" width="12.25" style="269" customWidth="1"/>
    <col min="16138" max="16138" width="11.625" style="269" customWidth="1"/>
    <col min="16139" max="16384" width="8.875" style="269"/>
  </cols>
  <sheetData>
    <row r="1" spans="1:10" ht="19.5">
      <c r="A1" s="264" t="s">
        <v>491</v>
      </c>
      <c r="B1" s="265"/>
      <c r="C1" s="266"/>
      <c r="D1" s="267"/>
      <c r="E1" s="265"/>
      <c r="F1" s="266"/>
      <c r="G1" s="268"/>
    </row>
    <row r="2" spans="1:10">
      <c r="G2" s="272"/>
    </row>
    <row r="3" spans="1:10" ht="17.25">
      <c r="A3" s="273" t="s">
        <v>157</v>
      </c>
      <c r="B3" s="274"/>
      <c r="C3" s="274"/>
      <c r="D3" s="274"/>
      <c r="E3" s="275"/>
      <c r="F3" s="275"/>
      <c r="G3" s="275"/>
      <c r="H3" s="275"/>
      <c r="I3" s="275"/>
      <c r="J3" s="276"/>
    </row>
    <row r="4" spans="1:10" ht="17.25">
      <c r="A4" s="277" t="s">
        <v>158</v>
      </c>
      <c r="B4" s="278"/>
      <c r="C4" s="278"/>
      <c r="D4" s="278"/>
      <c r="E4" s="279"/>
      <c r="F4" s="279"/>
      <c r="G4" s="279"/>
      <c r="H4" s="279"/>
      <c r="I4" s="279"/>
      <c r="J4" s="280"/>
    </row>
    <row r="5" spans="1:10">
      <c r="A5" s="70" t="s">
        <v>485</v>
      </c>
      <c r="B5" s="8" t="s">
        <v>421</v>
      </c>
      <c r="C5" s="71" t="s">
        <v>422</v>
      </c>
      <c r="D5" s="72" t="s">
        <v>159</v>
      </c>
      <c r="E5" s="8" t="s">
        <v>421</v>
      </c>
      <c r="F5" s="71" t="s">
        <v>422</v>
      </c>
      <c r="G5" s="74" t="s">
        <v>160</v>
      </c>
      <c r="H5" s="8" t="s">
        <v>421</v>
      </c>
      <c r="I5" s="71" t="s">
        <v>422</v>
      </c>
      <c r="J5" s="203" t="s">
        <v>37</v>
      </c>
    </row>
    <row r="6" spans="1:10">
      <c r="A6" s="282"/>
      <c r="B6" s="281" t="s">
        <v>33</v>
      </c>
      <c r="C6" s="498" t="s">
        <v>417</v>
      </c>
      <c r="D6" s="502" t="s">
        <v>2</v>
      </c>
      <c r="E6" s="283" t="s">
        <v>34</v>
      </c>
      <c r="F6" s="503" t="s">
        <v>418</v>
      </c>
      <c r="G6" s="502" t="s">
        <v>2</v>
      </c>
      <c r="H6" s="284" t="s">
        <v>36</v>
      </c>
      <c r="I6" s="505" t="s">
        <v>419</v>
      </c>
      <c r="J6" s="502" t="s">
        <v>2</v>
      </c>
    </row>
    <row r="7" spans="1:10">
      <c r="A7" s="285" t="s">
        <v>5</v>
      </c>
      <c r="B7" s="286"/>
      <c r="C7" s="81"/>
      <c r="D7" s="206"/>
      <c r="E7" s="287"/>
      <c r="F7" s="81"/>
      <c r="G7" s="504"/>
      <c r="H7" s="288"/>
      <c r="I7" s="84"/>
      <c r="J7" s="207"/>
    </row>
    <row r="8" spans="1:10">
      <c r="A8" s="285" t="s">
        <v>6</v>
      </c>
      <c r="B8" s="289">
        <f>SUM(B9:B11)</f>
        <v>70774</v>
      </c>
      <c r="C8" s="499">
        <f>[6]電動輔助自行車比較!C8</f>
        <v>105516</v>
      </c>
      <c r="D8" s="511">
        <f>IF(C8,(B8-C8)/C8,0)</f>
        <v>-0.32925812199097765</v>
      </c>
      <c r="E8" s="290">
        <f>SUM(E9:E11)</f>
        <v>145304454</v>
      </c>
      <c r="F8" s="85">
        <f>[6]電動輔助自行車比較!F8</f>
        <v>175650226</v>
      </c>
      <c r="G8" s="510">
        <f>IF(F8,(E8-F8)/F8,0)</f>
        <v>-0.17276249903601035</v>
      </c>
      <c r="H8" s="87">
        <f>IF(B8,E8/B8,0)</f>
        <v>2053.0767513493656</v>
      </c>
      <c r="I8" s="88">
        <f>IF(C8,F8/C8,0)</f>
        <v>1664.6785890291519</v>
      </c>
      <c r="J8" s="512">
        <f t="shared" ref="J8:J64" si="0">IF(I8,(H8-I8)/I8,0)</f>
        <v>0.23331720902755726</v>
      </c>
    </row>
    <row r="9" spans="1:10">
      <c r="A9" s="291" t="s">
        <v>164</v>
      </c>
      <c r="B9" s="292">
        <f>電輔車!E9</f>
        <v>62665</v>
      </c>
      <c r="C9" s="89">
        <f>VLOOKUP(A9,[15]進出口值表查詢結果!$A$2:$C$50,3,0)</f>
        <v>99001</v>
      </c>
      <c r="D9" s="511">
        <f t="shared" ref="D9:D64" si="1">IF(C9,(B9-C9)/C9,0)</f>
        <v>-0.36702659569095264</v>
      </c>
      <c r="E9" s="293">
        <f>電輔車!G9</f>
        <v>128872653</v>
      </c>
      <c r="F9" s="90">
        <f>VLOOKUP(A9,[15]進出口值表查詢結果!$A$2:$C$50,2,0)</f>
        <v>161756289</v>
      </c>
      <c r="G9" s="510">
        <f t="shared" ref="G9:G64" si="2">IF(F9,(E9-F9)/F9,0)</f>
        <v>-0.20329123648478359</v>
      </c>
      <c r="H9" s="87">
        <f t="shared" ref="H9:H11" si="3">IF(B9,E9/B9,0)</f>
        <v>2056.533200351073</v>
      </c>
      <c r="I9" s="88">
        <f t="shared" ref="I9:I11" si="4">IF(C9,F9/C9,0)</f>
        <v>1633.8854051979272</v>
      </c>
      <c r="J9" s="512">
        <f t="shared" si="0"/>
        <v>0.25867652272831626</v>
      </c>
    </row>
    <row r="10" spans="1:10">
      <c r="A10" s="294" t="s">
        <v>7</v>
      </c>
      <c r="B10" s="292">
        <f>電輔車!E10</f>
        <v>7364</v>
      </c>
      <c r="C10" s="89">
        <f>VLOOKUP(A10,[15]進出口值表查詢結果!$A$2:$C$50,3,0)</f>
        <v>5441</v>
      </c>
      <c r="D10" s="511">
        <f t="shared" si="1"/>
        <v>0.35342767873552655</v>
      </c>
      <c r="E10" s="293">
        <f>電輔車!G10</f>
        <v>14909038</v>
      </c>
      <c r="F10" s="90">
        <f>VLOOKUP(A10,[15]進出口值表查詢結果!$A$2:$C$50,2,0)</f>
        <v>11246922</v>
      </c>
      <c r="G10" s="510">
        <f t="shared" si="2"/>
        <v>0.32561050925755508</v>
      </c>
      <c r="H10" s="87">
        <f t="shared" si="3"/>
        <v>2024.5841933731667</v>
      </c>
      <c r="I10" s="88">
        <f t="shared" si="4"/>
        <v>2067.0689211541994</v>
      </c>
      <c r="J10" s="512">
        <f t="shared" si="0"/>
        <v>-2.0553125900277327E-2</v>
      </c>
    </row>
    <row r="11" spans="1:10">
      <c r="A11" s="294" t="s">
        <v>8</v>
      </c>
      <c r="B11" s="292">
        <f>電輔車!E11</f>
        <v>745</v>
      </c>
      <c r="C11" s="89">
        <f>VLOOKUP(A11,[15]進出口值表查詢結果!$A$2:$C$50,3,0)</f>
        <v>1074</v>
      </c>
      <c r="D11" s="511">
        <f t="shared" si="1"/>
        <v>-0.30633147113594039</v>
      </c>
      <c r="E11" s="293">
        <f>電輔車!G11</f>
        <v>1522763</v>
      </c>
      <c r="F11" s="90">
        <f>VLOOKUP(A11,[15]進出口值表查詢結果!$A$2:$C$50,2,0)</f>
        <v>2647015</v>
      </c>
      <c r="G11" s="510">
        <f t="shared" si="2"/>
        <v>-0.42472445377151247</v>
      </c>
      <c r="H11" s="87">
        <f t="shared" si="3"/>
        <v>2043.9771812080537</v>
      </c>
      <c r="I11" s="88">
        <f t="shared" si="4"/>
        <v>2464.6322160148975</v>
      </c>
      <c r="J11" s="512">
        <f t="shared" si="0"/>
        <v>-0.17067659510148234</v>
      </c>
    </row>
    <row r="12" spans="1:10">
      <c r="A12" s="294"/>
      <c r="B12" s="292"/>
      <c r="C12" s="500"/>
      <c r="D12" s="511"/>
      <c r="E12" s="293"/>
      <c r="F12" s="90"/>
      <c r="G12" s="510"/>
      <c r="H12" s="87"/>
      <c r="I12" s="88"/>
      <c r="J12" s="512"/>
    </row>
    <row r="13" spans="1:10">
      <c r="A13" s="295" t="s">
        <v>9</v>
      </c>
      <c r="B13" s="296">
        <f>SUM(B14:B40)</f>
        <v>197766</v>
      </c>
      <c r="C13" s="501">
        <f>[6]電動輔助自行車比較!C13</f>
        <v>183381</v>
      </c>
      <c r="D13" s="511">
        <f t="shared" si="1"/>
        <v>7.8443241120944918E-2</v>
      </c>
      <c r="E13" s="296">
        <f>SUM(E14:E40)</f>
        <v>288177647</v>
      </c>
      <c r="F13" s="91">
        <f>[6]電動輔助自行車比較!F13</f>
        <v>220517456</v>
      </c>
      <c r="G13" s="510">
        <f t="shared" si="2"/>
        <v>0.30682464883868421</v>
      </c>
      <c r="H13" s="87">
        <f t="shared" ref="H13:H18" si="5">IF(B13,E13/B13,0)</f>
        <v>1457.1647654298515</v>
      </c>
      <c r="I13" s="88">
        <f t="shared" ref="I13:I18" si="6">IF(C13,F13/C13,0)</f>
        <v>1202.5098347157011</v>
      </c>
      <c r="J13" s="512">
        <f t="shared" si="0"/>
        <v>0.21176952018388792</v>
      </c>
    </row>
    <row r="14" spans="1:10">
      <c r="A14" s="453" t="s">
        <v>247</v>
      </c>
      <c r="B14" s="293">
        <f>電輔車!E14</f>
        <v>120212</v>
      </c>
      <c r="C14" s="89">
        <f>VLOOKUP(A14,[15]進出口值表查詢結果!$A$2:$C$50,3,0)</f>
        <v>112397</v>
      </c>
      <c r="D14" s="511">
        <f t="shared" si="1"/>
        <v>6.953032554249669E-2</v>
      </c>
      <c r="E14" s="293">
        <f>電輔車!G14</f>
        <v>185105432</v>
      </c>
      <c r="F14" s="90">
        <f>VLOOKUP(A14,[15]進出口值表查詢結果!$A$2:$C$50,2,0)</f>
        <v>145757714</v>
      </c>
      <c r="G14" s="510">
        <f t="shared" si="2"/>
        <v>0.26995290280142564</v>
      </c>
      <c r="H14" s="87">
        <f t="shared" si="5"/>
        <v>1539.824909326856</v>
      </c>
      <c r="I14" s="88">
        <f t="shared" si="6"/>
        <v>1296.8114273512638</v>
      </c>
      <c r="J14" s="512">
        <f t="shared" si="0"/>
        <v>0.18739307570102695</v>
      </c>
    </row>
    <row r="15" spans="1:10">
      <c r="A15" s="453" t="s">
        <v>248</v>
      </c>
      <c r="B15" s="293">
        <f>電輔車!E15</f>
        <v>29886</v>
      </c>
      <c r="C15" s="89">
        <f>VLOOKUP(A15,[15]進出口值表查詢結果!$A$2:$C$50,3,0)</f>
        <v>37916</v>
      </c>
      <c r="D15" s="511">
        <f t="shared" si="1"/>
        <v>-0.21178394345395085</v>
      </c>
      <c r="E15" s="293">
        <f>電輔車!G15</f>
        <v>27843163</v>
      </c>
      <c r="F15" s="90">
        <f>VLOOKUP(A15,[15]進出口值表查詢結果!$A$2:$C$50,2,0)</f>
        <v>32583596</v>
      </c>
      <c r="G15" s="510">
        <f t="shared" si="2"/>
        <v>-0.14548526197047126</v>
      </c>
      <c r="H15" s="87">
        <f t="shared" si="5"/>
        <v>931.64568694371951</v>
      </c>
      <c r="I15" s="88">
        <f t="shared" si="6"/>
        <v>859.36269648697123</v>
      </c>
      <c r="J15" s="512">
        <f t="shared" si="0"/>
        <v>8.4112320388396292E-2</v>
      </c>
    </row>
    <row r="16" spans="1:10">
      <c r="A16" s="454" t="s">
        <v>10</v>
      </c>
      <c r="B16" s="293">
        <f>電輔車!E16</f>
        <v>4544</v>
      </c>
      <c r="C16" s="89">
        <f>VLOOKUP(A16,[15]進出口值表查詢結果!$A$2:$C$50,3,0)</f>
        <v>2663</v>
      </c>
      <c r="D16" s="511">
        <f t="shared" si="1"/>
        <v>0.70634622606083364</v>
      </c>
      <c r="E16" s="293">
        <f>電輔車!G16</f>
        <v>6676203</v>
      </c>
      <c r="F16" s="90">
        <f>VLOOKUP(A16,[15]進出口值表查詢結果!$A$2:$C$50,2,0)</f>
        <v>4310304</v>
      </c>
      <c r="G16" s="510">
        <f t="shared" si="2"/>
        <v>0.54889376712176219</v>
      </c>
      <c r="H16" s="87">
        <f t="shared" si="5"/>
        <v>1469.2348151408451</v>
      </c>
      <c r="I16" s="88">
        <f t="shared" si="6"/>
        <v>1618.589560645888</v>
      </c>
      <c r="J16" s="512">
        <f t="shared" si="0"/>
        <v>-9.2274625474196112E-2</v>
      </c>
    </row>
    <row r="17" spans="1:10">
      <c r="A17" s="453" t="s">
        <v>249</v>
      </c>
      <c r="B17" s="293">
        <f>電輔車!E17</f>
        <v>12188</v>
      </c>
      <c r="C17" s="89">
        <f>VLOOKUP(A17,[15]進出口值表查詢結果!$A$2:$C$50,3,0)</f>
        <v>10417</v>
      </c>
      <c r="D17" s="511">
        <f t="shared" si="1"/>
        <v>0.1700105596620908</v>
      </c>
      <c r="E17" s="293">
        <f>電輔車!G17</f>
        <v>16006545</v>
      </c>
      <c r="F17" s="90">
        <f>VLOOKUP(A17,[15]進出口值表查詢結果!$A$2:$C$50,2,0)</f>
        <v>11398288</v>
      </c>
      <c r="G17" s="510">
        <f t="shared" si="2"/>
        <v>0.40429378517194864</v>
      </c>
      <c r="H17" s="87">
        <f t="shared" si="5"/>
        <v>1313.3036593370527</v>
      </c>
      <c r="I17" s="88">
        <f t="shared" si="6"/>
        <v>1094.2006335797255</v>
      </c>
      <c r="J17" s="512">
        <f t="shared" si="0"/>
        <v>0.20024026584642168</v>
      </c>
    </row>
    <row r="18" spans="1:10">
      <c r="A18" s="454" t="s">
        <v>11</v>
      </c>
      <c r="B18" s="293">
        <f>電輔車!E18</f>
        <v>5536</v>
      </c>
      <c r="C18" s="89">
        <f>VLOOKUP(A18,[15]進出口值表查詢結果!$A$2:$C$50,3,0)</f>
        <v>7740</v>
      </c>
      <c r="D18" s="511">
        <f t="shared" si="1"/>
        <v>-0.28475452196382428</v>
      </c>
      <c r="E18" s="293">
        <f>電輔車!G18</f>
        <v>11818974</v>
      </c>
      <c r="F18" s="90">
        <f>VLOOKUP(A18,[15]進出口值表查詢結果!$A$2:$C$50,2,0)</f>
        <v>15899231</v>
      </c>
      <c r="G18" s="510">
        <f t="shared" si="2"/>
        <v>-0.2566323490739898</v>
      </c>
      <c r="H18" s="87">
        <f t="shared" si="5"/>
        <v>2134.9302745664741</v>
      </c>
      <c r="I18" s="88">
        <f t="shared" si="6"/>
        <v>2054.1642118863051</v>
      </c>
      <c r="J18" s="512">
        <f t="shared" si="0"/>
        <v>3.9318211374154359E-2</v>
      </c>
    </row>
    <row r="19" spans="1:10">
      <c r="A19" s="454" t="s">
        <v>12</v>
      </c>
      <c r="B19" s="293">
        <f>電輔車!E19</f>
        <v>5083</v>
      </c>
      <c r="C19" s="89">
        <f>VLOOKUP(A19,[15]進出口值表查詢結果!$A$2:$C$50,3,0)</f>
        <v>1220</v>
      </c>
      <c r="D19" s="511">
        <f t="shared" si="1"/>
        <v>3.166393442622951</v>
      </c>
      <c r="E19" s="293">
        <f>電輔車!G19</f>
        <v>9271295</v>
      </c>
      <c r="F19" s="90">
        <f>VLOOKUP(A19,[15]進出口值表查詢結果!$A$2:$C$50,2,0)</f>
        <v>1998295</v>
      </c>
      <c r="G19" s="510">
        <f t="shared" si="2"/>
        <v>3.6396027613540545</v>
      </c>
      <c r="H19" s="87">
        <f>IF(B19,E19/B19,0)</f>
        <v>1823.9809167814283</v>
      </c>
      <c r="I19" s="88">
        <f>IF(C19,F19/C19,0)</f>
        <v>1637.9467213114754</v>
      </c>
      <c r="J19" s="512">
        <f t="shared" si="0"/>
        <v>0.11357768421246241</v>
      </c>
    </row>
    <row r="20" spans="1:10">
      <c r="A20" s="453" t="s">
        <v>251</v>
      </c>
      <c r="B20" s="293">
        <f>電輔車!E20</f>
        <v>4322</v>
      </c>
      <c r="C20" s="89">
        <f>VLOOKUP(A20,[15]進出口值表查詢結果!$A$2:$C$50,3,0)</f>
        <v>2432</v>
      </c>
      <c r="D20" s="511">
        <f t="shared" si="1"/>
        <v>0.77713815789473684</v>
      </c>
      <c r="E20" s="293">
        <f>電輔車!G20</f>
        <v>6538409</v>
      </c>
      <c r="F20" s="90">
        <f>VLOOKUP(A20,[15]進出口值表查詢結果!$A$2:$C$50,2,0)</f>
        <v>3590947</v>
      </c>
      <c r="G20" s="510">
        <f t="shared" si="2"/>
        <v>0.82080353733987166</v>
      </c>
      <c r="H20" s="87">
        <f t="shared" ref="H20:H33" si="7">IF(B20,E20/B20,0)</f>
        <v>1512.8202221193892</v>
      </c>
      <c r="I20" s="88">
        <f t="shared" ref="I20:I33" si="8">IF(C20,F20/C20,0)</f>
        <v>1476.5407072368421</v>
      </c>
      <c r="J20" s="512">
        <f t="shared" si="0"/>
        <v>2.4570616106100868E-2</v>
      </c>
    </row>
    <row r="21" spans="1:10">
      <c r="A21" s="454" t="s">
        <v>13</v>
      </c>
      <c r="B21" s="293">
        <f>電輔車!E21</f>
        <v>14</v>
      </c>
      <c r="C21" s="89">
        <v>0</v>
      </c>
      <c r="D21" s="511">
        <f t="shared" si="1"/>
        <v>0</v>
      </c>
      <c r="E21" s="293">
        <f>電輔車!G21</f>
        <v>49329</v>
      </c>
      <c r="F21" s="90">
        <v>0</v>
      </c>
      <c r="G21" s="510">
        <f t="shared" si="2"/>
        <v>0</v>
      </c>
      <c r="H21" s="87">
        <f t="shared" si="7"/>
        <v>3523.5</v>
      </c>
      <c r="I21" s="88">
        <f t="shared" si="8"/>
        <v>0</v>
      </c>
      <c r="J21" s="512">
        <f t="shared" si="0"/>
        <v>0</v>
      </c>
    </row>
    <row r="22" spans="1:10">
      <c r="A22" s="453" t="s">
        <v>252</v>
      </c>
      <c r="B22" s="293">
        <f>電輔車!E22</f>
        <v>5932</v>
      </c>
      <c r="C22" s="89">
        <v>0</v>
      </c>
      <c r="D22" s="511">
        <f t="shared" si="1"/>
        <v>0</v>
      </c>
      <c r="E22" s="293">
        <f>電輔車!G22</f>
        <v>14606144</v>
      </c>
      <c r="F22" s="90">
        <v>0</v>
      </c>
      <c r="G22" s="510">
        <f t="shared" si="2"/>
        <v>0</v>
      </c>
      <c r="H22" s="87">
        <f t="shared" si="7"/>
        <v>2462.2629804450439</v>
      </c>
      <c r="I22" s="88">
        <f t="shared" si="8"/>
        <v>0</v>
      </c>
      <c r="J22" s="512">
        <f t="shared" si="0"/>
        <v>0</v>
      </c>
    </row>
    <row r="23" spans="1:10">
      <c r="A23" s="454" t="s">
        <v>14</v>
      </c>
      <c r="B23" s="293">
        <f>電輔車!E23</f>
        <v>0</v>
      </c>
      <c r="C23" s="89">
        <v>0</v>
      </c>
      <c r="D23" s="511">
        <f t="shared" si="1"/>
        <v>0</v>
      </c>
      <c r="E23" s="293">
        <f>電輔車!G23</f>
        <v>0</v>
      </c>
      <c r="F23" s="90">
        <v>0</v>
      </c>
      <c r="G23" s="510">
        <f t="shared" si="2"/>
        <v>0</v>
      </c>
      <c r="H23" s="87">
        <f t="shared" si="7"/>
        <v>0</v>
      </c>
      <c r="I23" s="88">
        <f t="shared" si="8"/>
        <v>0</v>
      </c>
      <c r="J23" s="512">
        <f t="shared" si="0"/>
        <v>0</v>
      </c>
    </row>
    <row r="24" spans="1:10">
      <c r="A24" s="454" t="s">
        <v>15</v>
      </c>
      <c r="B24" s="293">
        <f>電輔車!E24</f>
        <v>0</v>
      </c>
      <c r="C24" s="89">
        <v>0</v>
      </c>
      <c r="D24" s="511">
        <f t="shared" si="1"/>
        <v>0</v>
      </c>
      <c r="E24" s="293">
        <f>電輔車!G24</f>
        <v>0</v>
      </c>
      <c r="F24" s="90">
        <v>0</v>
      </c>
      <c r="G24" s="510">
        <f t="shared" si="2"/>
        <v>0</v>
      </c>
      <c r="H24" s="87">
        <f t="shared" si="7"/>
        <v>0</v>
      </c>
      <c r="I24" s="88">
        <f t="shared" si="8"/>
        <v>0</v>
      </c>
      <c r="J24" s="512">
        <f t="shared" si="0"/>
        <v>0</v>
      </c>
    </row>
    <row r="25" spans="1:10">
      <c r="A25" s="454" t="s">
        <v>16</v>
      </c>
      <c r="B25" s="293">
        <f>電輔車!E25</f>
        <v>1724</v>
      </c>
      <c r="C25" s="89">
        <f>VLOOKUP(A25,[15]進出口值表查詢結果!$A$2:$C$50,3,0)</f>
        <v>7</v>
      </c>
      <c r="D25" s="511">
        <f t="shared" si="1"/>
        <v>245.28571428571428</v>
      </c>
      <c r="E25" s="293">
        <f>電輔車!G25</f>
        <v>3553674</v>
      </c>
      <c r="F25" s="90">
        <f>VLOOKUP(A25,[15]進出口值表查詢結果!$A$2:$C$50,2,0)</f>
        <v>18604</v>
      </c>
      <c r="G25" s="510">
        <f t="shared" si="2"/>
        <v>190.0166630832079</v>
      </c>
      <c r="H25" s="87">
        <f t="shared" si="7"/>
        <v>2061.2958236658933</v>
      </c>
      <c r="I25" s="88">
        <f t="shared" si="8"/>
        <v>2657.7142857142858</v>
      </c>
      <c r="J25" s="512">
        <f t="shared" si="0"/>
        <v>-0.22441030070623239</v>
      </c>
    </row>
    <row r="26" spans="1:10">
      <c r="A26" s="453" t="s">
        <v>255</v>
      </c>
      <c r="B26" s="293">
        <f>電輔車!E26</f>
        <v>3190</v>
      </c>
      <c r="C26" s="89">
        <f>VLOOKUP(A26,[15]進出口值表查詢結果!$A$2:$C$50,3,0)</f>
        <v>3110</v>
      </c>
      <c r="D26" s="511">
        <f t="shared" si="1"/>
        <v>2.5723472668810289E-2</v>
      </c>
      <c r="E26" s="293">
        <f>電輔車!G26</f>
        <v>1270376</v>
      </c>
      <c r="F26" s="90">
        <f>VLOOKUP(A26,[15]進出口值表查詢結果!$A$2:$C$50,2,0)</f>
        <v>1561150</v>
      </c>
      <c r="G26" s="510">
        <f t="shared" si="2"/>
        <v>-0.18625628543061204</v>
      </c>
      <c r="H26" s="87">
        <f t="shared" si="7"/>
        <v>398.2369905956113</v>
      </c>
      <c r="I26" s="88">
        <f t="shared" si="8"/>
        <v>501.97749196141478</v>
      </c>
      <c r="J26" s="512">
        <f t="shared" si="0"/>
        <v>-0.20666365131322989</v>
      </c>
    </row>
    <row r="27" spans="1:10">
      <c r="A27" s="453" t="s">
        <v>257</v>
      </c>
      <c r="B27" s="293">
        <f>電輔車!E27</f>
        <v>357</v>
      </c>
      <c r="C27" s="89">
        <f>VLOOKUP(A27,[15]進出口值表查詢結果!$A$2:$C$50,3,0)</f>
        <v>471</v>
      </c>
      <c r="D27" s="511">
        <f t="shared" si="1"/>
        <v>-0.24203821656050956</v>
      </c>
      <c r="E27" s="293">
        <f>電輔車!G27</f>
        <v>667340</v>
      </c>
      <c r="F27" s="90">
        <f>VLOOKUP(A27,[15]進出口值表查詢結果!$A$2:$C$50,2,0)</f>
        <v>333786</v>
      </c>
      <c r="G27" s="510">
        <f t="shared" si="2"/>
        <v>0.9993049438862025</v>
      </c>
      <c r="H27" s="87">
        <f t="shared" si="7"/>
        <v>1869.2997198879552</v>
      </c>
      <c r="I27" s="88">
        <f t="shared" si="8"/>
        <v>708.67515923566884</v>
      </c>
      <c r="J27" s="512">
        <f t="shared" si="0"/>
        <v>1.6377384553792755</v>
      </c>
    </row>
    <row r="28" spans="1:10">
      <c r="A28" s="454" t="s">
        <v>258</v>
      </c>
      <c r="B28" s="293">
        <f>電輔車!E28</f>
        <v>1202</v>
      </c>
      <c r="C28" s="89">
        <f>VLOOKUP(A28,[15]進出口值表查詢結果!$A$2:$C$50,3,0)</f>
        <v>1268</v>
      </c>
      <c r="D28" s="511">
        <f t="shared" si="1"/>
        <v>-5.2050473186119876E-2</v>
      </c>
      <c r="E28" s="293">
        <f>電輔車!G28</f>
        <v>2250241</v>
      </c>
      <c r="F28" s="90">
        <f>VLOOKUP(A28,[15]進出口值表查詢結果!$A$2:$C$50,2,0)</f>
        <v>1785155</v>
      </c>
      <c r="G28" s="510">
        <f t="shared" si="2"/>
        <v>0.26052975792018063</v>
      </c>
      <c r="H28" s="87">
        <f t="shared" si="7"/>
        <v>1872.0806988352745</v>
      </c>
      <c r="I28" s="88">
        <f t="shared" si="8"/>
        <v>1407.8509463722398</v>
      </c>
      <c r="J28" s="512">
        <f t="shared" si="0"/>
        <v>0.3297435383051488</v>
      </c>
    </row>
    <row r="29" spans="1:10">
      <c r="A29" s="464" t="s">
        <v>259</v>
      </c>
      <c r="B29" s="293">
        <f>電輔車!E29</f>
        <v>3490</v>
      </c>
      <c r="C29" s="89">
        <f>VLOOKUP(A29,[15]進出口值表查詢結果!$A$2:$C$50,3,0)</f>
        <v>3368</v>
      </c>
      <c r="D29" s="511">
        <f t="shared" si="1"/>
        <v>3.622327790973872E-2</v>
      </c>
      <c r="E29" s="293">
        <f>電輔車!G29</f>
        <v>2364192</v>
      </c>
      <c r="F29" s="90">
        <f>VLOOKUP(A29,[15]進出口值表查詢結果!$A$2:$C$50,2,0)</f>
        <v>1052195</v>
      </c>
      <c r="G29" s="510">
        <f t="shared" si="2"/>
        <v>1.2469143077091223</v>
      </c>
      <c r="H29" s="87">
        <f t="shared" si="7"/>
        <v>677.41891117478508</v>
      </c>
      <c r="I29" s="88">
        <f t="shared" si="8"/>
        <v>312.40944180522564</v>
      </c>
      <c r="J29" s="512">
        <f t="shared" si="0"/>
        <v>1.1683688791874856</v>
      </c>
    </row>
    <row r="30" spans="1:10">
      <c r="A30" s="464" t="s">
        <v>260</v>
      </c>
      <c r="B30" s="293">
        <f>電輔車!E30</f>
        <v>86</v>
      </c>
      <c r="C30" s="89">
        <f>VLOOKUP(A30,[15]進出口值表查詢結果!$A$2:$C$50,3,0)</f>
        <v>15</v>
      </c>
      <c r="D30" s="511">
        <f t="shared" si="1"/>
        <v>4.7333333333333334</v>
      </c>
      <c r="E30" s="293">
        <f>電輔車!G30</f>
        <v>156330</v>
      </c>
      <c r="F30" s="90">
        <f>VLOOKUP(A30,[15]進出口值表查詢結果!$A$2:$C$50,2,0)</f>
        <v>35059</v>
      </c>
      <c r="G30" s="510">
        <f t="shared" si="2"/>
        <v>3.4590547363016628</v>
      </c>
      <c r="H30" s="87">
        <f t="shared" si="7"/>
        <v>1817.7906976744187</v>
      </c>
      <c r="I30" s="88">
        <f t="shared" si="8"/>
        <v>2337.2666666666669</v>
      </c>
      <c r="J30" s="512">
        <f t="shared" si="0"/>
        <v>-0.22225789483110536</v>
      </c>
    </row>
    <row r="31" spans="1:10">
      <c r="A31" s="464" t="s">
        <v>261</v>
      </c>
      <c r="B31" s="293">
        <f>電輔車!E31</f>
        <v>0</v>
      </c>
      <c r="C31" s="89">
        <v>0</v>
      </c>
      <c r="D31" s="511">
        <f t="shared" si="1"/>
        <v>0</v>
      </c>
      <c r="E31" s="293">
        <f>電輔車!G31</f>
        <v>0</v>
      </c>
      <c r="F31" s="90">
        <v>0</v>
      </c>
      <c r="G31" s="510">
        <f t="shared" si="2"/>
        <v>0</v>
      </c>
      <c r="H31" s="87">
        <f t="shared" si="7"/>
        <v>0</v>
      </c>
      <c r="I31" s="88">
        <f t="shared" si="8"/>
        <v>0</v>
      </c>
      <c r="J31" s="512">
        <f t="shared" si="0"/>
        <v>0</v>
      </c>
    </row>
    <row r="32" spans="1:10">
      <c r="A32" s="464" t="s">
        <v>263</v>
      </c>
      <c r="B32" s="293">
        <f>電輔車!E32</f>
        <v>0</v>
      </c>
      <c r="C32" s="89">
        <f>VLOOKUP(A32,[15]進出口值表查詢結果!$A$2:$C$50,3,0)</f>
        <v>357</v>
      </c>
      <c r="D32" s="511">
        <f t="shared" si="1"/>
        <v>-1</v>
      </c>
      <c r="E32" s="293">
        <f>電輔車!G32</f>
        <v>0</v>
      </c>
      <c r="F32" s="90">
        <f>VLOOKUP(A32,[15]進出口值表查詢結果!$A$2:$C$50,2,0)</f>
        <v>193132</v>
      </c>
      <c r="G32" s="510">
        <f t="shared" si="2"/>
        <v>-1</v>
      </c>
      <c r="H32" s="87">
        <f t="shared" si="7"/>
        <v>0</v>
      </c>
      <c r="I32" s="88">
        <f t="shared" si="8"/>
        <v>540.9859943977591</v>
      </c>
      <c r="J32" s="512">
        <f t="shared" si="0"/>
        <v>-1</v>
      </c>
    </row>
    <row r="33" spans="1:10">
      <c r="A33" s="464" t="s">
        <v>265</v>
      </c>
      <c r="B33" s="293">
        <f>電輔車!E33</f>
        <v>0</v>
      </c>
      <c r="C33" s="89">
        <v>0</v>
      </c>
      <c r="D33" s="511">
        <f t="shared" si="1"/>
        <v>0</v>
      </c>
      <c r="E33" s="293">
        <f>電輔車!G33</f>
        <v>0</v>
      </c>
      <c r="F33" s="90">
        <v>0</v>
      </c>
      <c r="G33" s="510">
        <f t="shared" si="2"/>
        <v>0</v>
      </c>
      <c r="H33" s="87">
        <f t="shared" si="7"/>
        <v>0</v>
      </c>
      <c r="I33" s="88">
        <f t="shared" si="8"/>
        <v>0</v>
      </c>
      <c r="J33" s="512">
        <f t="shared" si="0"/>
        <v>0</v>
      </c>
    </row>
    <row r="34" spans="1:10">
      <c r="A34" s="464" t="s">
        <v>266</v>
      </c>
      <c r="B34" s="293">
        <f>電輔車!E34</f>
        <v>0</v>
      </c>
      <c r="C34" s="89">
        <v>0</v>
      </c>
      <c r="D34" s="511">
        <f t="shared" si="1"/>
        <v>0</v>
      </c>
      <c r="E34" s="293">
        <f>電輔車!G34</f>
        <v>0</v>
      </c>
      <c r="F34" s="90">
        <v>0</v>
      </c>
      <c r="G34" s="510">
        <f t="shared" si="2"/>
        <v>0</v>
      </c>
      <c r="H34" s="87">
        <f t="shared" ref="H34:H63" si="9">IF(B34,E34/B34,0)</f>
        <v>0</v>
      </c>
      <c r="I34" s="88">
        <f t="shared" ref="I34:I64" si="10">IF(C34,F34/C34,0)</f>
        <v>0</v>
      </c>
      <c r="J34" s="512">
        <f t="shared" si="0"/>
        <v>0</v>
      </c>
    </row>
    <row r="35" spans="1:10">
      <c r="A35" s="465" t="s">
        <v>384</v>
      </c>
      <c r="B35" s="293">
        <f>電輔車!E35</f>
        <v>0</v>
      </c>
      <c r="C35" s="89">
        <v>0</v>
      </c>
      <c r="D35" s="511">
        <f t="shared" si="1"/>
        <v>0</v>
      </c>
      <c r="E35" s="293">
        <f>電輔車!G35</f>
        <v>0</v>
      </c>
      <c r="F35" s="90">
        <v>0</v>
      </c>
      <c r="G35" s="510">
        <f t="shared" si="2"/>
        <v>0</v>
      </c>
      <c r="H35" s="87">
        <f t="shared" si="9"/>
        <v>0</v>
      </c>
      <c r="I35" s="88">
        <f t="shared" si="10"/>
        <v>0</v>
      </c>
      <c r="J35" s="512">
        <f t="shared" si="0"/>
        <v>0</v>
      </c>
    </row>
    <row r="36" spans="1:10">
      <c r="A36" s="464" t="s">
        <v>269</v>
      </c>
      <c r="B36" s="293">
        <f>電輔車!E36</f>
        <v>0</v>
      </c>
      <c r="C36" s="89">
        <v>0</v>
      </c>
      <c r="D36" s="511">
        <f t="shared" si="1"/>
        <v>0</v>
      </c>
      <c r="E36" s="293">
        <f>電輔車!G36</f>
        <v>0</v>
      </c>
      <c r="F36" s="90">
        <v>0</v>
      </c>
      <c r="G36" s="510">
        <f t="shared" si="2"/>
        <v>0</v>
      </c>
      <c r="H36" s="87">
        <f t="shared" si="9"/>
        <v>0</v>
      </c>
      <c r="I36" s="88">
        <f t="shared" si="10"/>
        <v>0</v>
      </c>
      <c r="J36" s="512">
        <f t="shared" si="0"/>
        <v>0</v>
      </c>
    </row>
    <row r="37" spans="1:10">
      <c r="A37" s="464" t="s">
        <v>385</v>
      </c>
      <c r="B37" s="293">
        <f>電輔車!E37</f>
        <v>0</v>
      </c>
      <c r="C37" s="89">
        <v>0</v>
      </c>
      <c r="D37" s="511">
        <f t="shared" si="1"/>
        <v>0</v>
      </c>
      <c r="E37" s="293">
        <f>電輔車!G37</f>
        <v>0</v>
      </c>
      <c r="F37" s="90">
        <v>0</v>
      </c>
      <c r="G37" s="510">
        <f t="shared" si="2"/>
        <v>0</v>
      </c>
      <c r="H37" s="87">
        <f t="shared" si="9"/>
        <v>0</v>
      </c>
      <c r="I37" s="88">
        <f t="shared" si="10"/>
        <v>0</v>
      </c>
      <c r="J37" s="512">
        <f t="shared" si="0"/>
        <v>0</v>
      </c>
    </row>
    <row r="38" spans="1:10">
      <c r="A38" s="464" t="s">
        <v>271</v>
      </c>
      <c r="B38" s="293">
        <f>電輔車!E38</f>
        <v>0</v>
      </c>
      <c r="C38" s="89">
        <v>0</v>
      </c>
      <c r="D38" s="511">
        <f t="shared" si="1"/>
        <v>0</v>
      </c>
      <c r="E38" s="293">
        <f>電輔車!G38</f>
        <v>0</v>
      </c>
      <c r="F38" s="90">
        <v>0</v>
      </c>
      <c r="G38" s="510">
        <f t="shared" si="2"/>
        <v>0</v>
      </c>
      <c r="H38" s="87">
        <f t="shared" si="9"/>
        <v>0</v>
      </c>
      <c r="I38" s="88">
        <f t="shared" si="10"/>
        <v>0</v>
      </c>
      <c r="J38" s="512">
        <f t="shared" si="0"/>
        <v>0</v>
      </c>
    </row>
    <row r="39" spans="1:10">
      <c r="A39" s="464" t="s">
        <v>272</v>
      </c>
      <c r="B39" s="293">
        <f>電輔車!E39</f>
        <v>0</v>
      </c>
      <c r="C39" s="89">
        <v>0</v>
      </c>
      <c r="D39" s="511">
        <f t="shared" si="1"/>
        <v>0</v>
      </c>
      <c r="E39" s="293">
        <f>電輔車!G39</f>
        <v>0</v>
      </c>
      <c r="F39" s="90">
        <v>0</v>
      </c>
      <c r="G39" s="510">
        <f t="shared" si="2"/>
        <v>0</v>
      </c>
      <c r="H39" s="87">
        <f t="shared" si="9"/>
        <v>0</v>
      </c>
      <c r="I39" s="88">
        <f t="shared" si="10"/>
        <v>0</v>
      </c>
      <c r="J39" s="512">
        <f t="shared" si="0"/>
        <v>0</v>
      </c>
    </row>
    <row r="40" spans="1:10">
      <c r="A40" s="454" t="s">
        <v>273</v>
      </c>
      <c r="B40" s="293">
        <f>電輔車!E40</f>
        <v>0</v>
      </c>
      <c r="C40" s="89">
        <v>0</v>
      </c>
      <c r="D40" s="511">
        <f t="shared" si="1"/>
        <v>0</v>
      </c>
      <c r="E40" s="293">
        <f>電輔車!G40</f>
        <v>0</v>
      </c>
      <c r="F40" s="90">
        <v>0</v>
      </c>
      <c r="G40" s="510">
        <f t="shared" si="2"/>
        <v>0</v>
      </c>
      <c r="H40" s="87">
        <f t="shared" si="9"/>
        <v>0</v>
      </c>
      <c r="I40" s="88">
        <f t="shared" si="10"/>
        <v>0</v>
      </c>
      <c r="J40" s="512">
        <f t="shared" si="0"/>
        <v>0</v>
      </c>
    </row>
    <row r="41" spans="1:10">
      <c r="A41" s="291"/>
      <c r="B41" s="293"/>
      <c r="C41" s="500"/>
      <c r="D41" s="511"/>
      <c r="E41" s="293"/>
      <c r="F41" s="90"/>
      <c r="G41" s="510"/>
      <c r="H41" s="87"/>
      <c r="I41" s="88"/>
      <c r="J41" s="512"/>
    </row>
    <row r="42" spans="1:10">
      <c r="A42" s="297" t="s">
        <v>20</v>
      </c>
      <c r="B42" s="296">
        <f>SUM(B43:B46)</f>
        <v>7508</v>
      </c>
      <c r="C42" s="501">
        <f>[6]電動輔助自行車比較!C42</f>
        <v>4800</v>
      </c>
      <c r="D42" s="511">
        <f t="shared" si="1"/>
        <v>0.56416666666666671</v>
      </c>
      <c r="E42" s="296">
        <f>SUM(E43:E46)</f>
        <v>13515845</v>
      </c>
      <c r="F42" s="85">
        <f>[6]電動輔助自行車比較!F42</f>
        <v>8169408</v>
      </c>
      <c r="G42" s="510">
        <f t="shared" si="2"/>
        <v>0.65444607491754603</v>
      </c>
      <c r="H42" s="87">
        <f t="shared" si="9"/>
        <v>1800.1924613745339</v>
      </c>
      <c r="I42" s="88">
        <f t="shared" si="10"/>
        <v>1701.96</v>
      </c>
      <c r="J42" s="512">
        <f t="shared" si="0"/>
        <v>5.7717256207275046E-2</v>
      </c>
    </row>
    <row r="43" spans="1:10">
      <c r="A43" s="291" t="s">
        <v>184</v>
      </c>
      <c r="B43" s="293">
        <f>電輔車!E43</f>
        <v>4900</v>
      </c>
      <c r="C43" s="89">
        <f>VLOOKUP(A43,[15]進出口值表查詢結果!$A$2:$C$50,3,0)</f>
        <v>3116</v>
      </c>
      <c r="D43" s="511">
        <f t="shared" si="1"/>
        <v>0.57252888318356865</v>
      </c>
      <c r="E43" s="293">
        <f>電輔車!G43</f>
        <v>9101806</v>
      </c>
      <c r="F43" s="90">
        <f>VLOOKUP(A43,[15]進出口值表查詢結果!$A$2:$C$50,2,0)</f>
        <v>5496238</v>
      </c>
      <c r="G43" s="510">
        <f t="shared" si="2"/>
        <v>0.65600652664604409</v>
      </c>
      <c r="H43" s="87">
        <f t="shared" si="9"/>
        <v>1857.5114285714285</v>
      </c>
      <c r="I43" s="88">
        <f t="shared" si="10"/>
        <v>1763.8761232349166</v>
      </c>
      <c r="J43" s="512">
        <f t="shared" si="0"/>
        <v>5.3084966740627161E-2</v>
      </c>
    </row>
    <row r="44" spans="1:10">
      <c r="A44" s="291" t="s">
        <v>275</v>
      </c>
      <c r="B44" s="293">
        <f>電輔車!E44</f>
        <v>2576</v>
      </c>
      <c r="C44" s="89">
        <f>VLOOKUP(A44,[15]進出口值表查詢結果!$A$2:$C$50,3,0)</f>
        <v>1684</v>
      </c>
      <c r="D44" s="511">
        <f t="shared" si="1"/>
        <v>0.52969121140142517</v>
      </c>
      <c r="E44" s="293">
        <f>電輔車!G44</f>
        <v>4353751</v>
      </c>
      <c r="F44" s="90">
        <f>VLOOKUP(A44,[15]進出口值表查詢結果!$A$2:$C$50,2,0)</f>
        <v>2673170</v>
      </c>
      <c r="G44" s="510">
        <f t="shared" si="2"/>
        <v>0.62868467026040242</v>
      </c>
      <c r="H44" s="87">
        <f t="shared" si="9"/>
        <v>1690.1207298136646</v>
      </c>
      <c r="I44" s="88">
        <f t="shared" si="10"/>
        <v>1587.3931116389549</v>
      </c>
      <c r="J44" s="512">
        <f t="shared" si="0"/>
        <v>6.4714667980791035E-2</v>
      </c>
    </row>
    <row r="45" spans="1:10">
      <c r="A45" s="291" t="s">
        <v>276</v>
      </c>
      <c r="B45" s="293">
        <f>電輔車!E45</f>
        <v>32</v>
      </c>
      <c r="C45" s="89">
        <v>0</v>
      </c>
      <c r="D45" s="511">
        <f t="shared" si="1"/>
        <v>0</v>
      </c>
      <c r="E45" s="293">
        <f>電輔車!G45</f>
        <v>60288</v>
      </c>
      <c r="F45" s="90">
        <v>0</v>
      </c>
      <c r="G45" s="510">
        <f t="shared" si="2"/>
        <v>0</v>
      </c>
      <c r="H45" s="87">
        <f t="shared" si="9"/>
        <v>1884</v>
      </c>
      <c r="I45" s="88">
        <f t="shared" si="10"/>
        <v>0</v>
      </c>
      <c r="J45" s="512">
        <f t="shared" si="0"/>
        <v>0</v>
      </c>
    </row>
    <row r="46" spans="1:10">
      <c r="A46" s="294" t="s">
        <v>21</v>
      </c>
      <c r="B46" s="293">
        <f>電輔車!E46</f>
        <v>0</v>
      </c>
      <c r="C46" s="89">
        <v>0</v>
      </c>
      <c r="D46" s="511">
        <f t="shared" si="1"/>
        <v>0</v>
      </c>
      <c r="E46" s="293">
        <f>電輔車!G46</f>
        <v>0</v>
      </c>
      <c r="F46" s="90">
        <v>0</v>
      </c>
      <c r="G46" s="510">
        <f t="shared" si="2"/>
        <v>0</v>
      </c>
      <c r="H46" s="87">
        <f t="shared" si="9"/>
        <v>0</v>
      </c>
      <c r="I46" s="88">
        <f t="shared" si="10"/>
        <v>0</v>
      </c>
      <c r="J46" s="512">
        <f t="shared" si="0"/>
        <v>0</v>
      </c>
    </row>
    <row r="47" spans="1:10">
      <c r="A47" s="294"/>
      <c r="B47" s="293"/>
      <c r="C47" s="500"/>
      <c r="D47" s="511"/>
      <c r="E47" s="293"/>
      <c r="F47" s="90"/>
      <c r="G47" s="510"/>
      <c r="H47" s="87"/>
      <c r="I47" s="88"/>
      <c r="J47" s="512"/>
    </row>
    <row r="48" spans="1:10">
      <c r="A48" s="297" t="s">
        <v>22</v>
      </c>
      <c r="B48" s="296">
        <f>SUM(B49:B62)</f>
        <v>39783</v>
      </c>
      <c r="C48" s="501">
        <f>[6]電動輔助自行車比較!C48</f>
        <v>36323</v>
      </c>
      <c r="D48" s="511">
        <f t="shared" si="1"/>
        <v>9.5256449081848965E-2</v>
      </c>
      <c r="E48" s="296">
        <f>SUM(E49:E62)</f>
        <v>66225549</v>
      </c>
      <c r="F48" s="91">
        <f>[6]電動輔助自行車比較!F48</f>
        <v>62845985</v>
      </c>
      <c r="G48" s="510">
        <f t="shared" si="2"/>
        <v>5.3775336642428312E-2</v>
      </c>
      <c r="H48" s="87">
        <f t="shared" si="9"/>
        <v>1664.6695573486163</v>
      </c>
      <c r="I48" s="88">
        <f t="shared" si="10"/>
        <v>1730.1980838587122</v>
      </c>
      <c r="J48" s="512">
        <f t="shared" si="0"/>
        <v>-3.7873424506373973E-2</v>
      </c>
    </row>
    <row r="49" spans="1:10">
      <c r="A49" s="297" t="s">
        <v>163</v>
      </c>
      <c r="B49" s="293">
        <f>電輔車!E49</f>
        <v>21178</v>
      </c>
      <c r="C49" s="89">
        <f>VLOOKUP(A49,[15]進出口值表查詢結果!$A$2:$C$50,3,0)</f>
        <v>17356</v>
      </c>
      <c r="D49" s="511">
        <f t="shared" si="1"/>
        <v>0.22021203042175616</v>
      </c>
      <c r="E49" s="293">
        <f>電輔車!G49</f>
        <v>28766515</v>
      </c>
      <c r="F49" s="90">
        <f>VLOOKUP(A49,[15]進出口值表查詢結果!$A$2:$C$50,2,0)</f>
        <v>26314863</v>
      </c>
      <c r="G49" s="510">
        <f t="shared" si="2"/>
        <v>9.3166056004167677E-2</v>
      </c>
      <c r="H49" s="87">
        <f t="shared" si="9"/>
        <v>1358.3206629521201</v>
      </c>
      <c r="I49" s="88">
        <f t="shared" si="10"/>
        <v>1516.1824729200277</v>
      </c>
      <c r="J49" s="512">
        <f t="shared" si="0"/>
        <v>-0.10411794938104012</v>
      </c>
    </row>
    <row r="50" spans="1:10">
      <c r="A50" s="453" t="s">
        <v>386</v>
      </c>
      <c r="B50" s="293">
        <f>電輔車!E50</f>
        <v>4421</v>
      </c>
      <c r="C50" s="89">
        <f>VLOOKUP(A50,[15]進出口值表查詢結果!$A$2:$C$50,3,0)</f>
        <v>3738</v>
      </c>
      <c r="D50" s="511">
        <f t="shared" si="1"/>
        <v>0.18271803103263778</v>
      </c>
      <c r="E50" s="293">
        <f>電輔車!G50</f>
        <v>5305620</v>
      </c>
      <c r="F50" s="90">
        <f>VLOOKUP(A50,[15]進出口值表查詢結果!$A$2:$C$50,2,0)</f>
        <v>3914656</v>
      </c>
      <c r="G50" s="510">
        <f t="shared" si="2"/>
        <v>0.3553221534663582</v>
      </c>
      <c r="H50" s="87">
        <f t="shared" si="9"/>
        <v>1200.0950011309658</v>
      </c>
      <c r="I50" s="88">
        <f t="shared" si="10"/>
        <v>1047.25949705725</v>
      </c>
      <c r="J50" s="512">
        <f t="shared" si="0"/>
        <v>0.14593852288107809</v>
      </c>
    </row>
    <row r="51" spans="1:10">
      <c r="A51" s="453" t="s">
        <v>455</v>
      </c>
      <c r="B51" s="293">
        <f>電輔車!E51</f>
        <v>38</v>
      </c>
      <c r="C51" s="89">
        <f>VLOOKUP(A51,[15]進出口值表查詢結果!$A$2:$C$50,3,0)</f>
        <v>16</v>
      </c>
      <c r="D51" s="511">
        <f t="shared" si="1"/>
        <v>1.375</v>
      </c>
      <c r="E51" s="293">
        <f>電輔車!G51</f>
        <v>102252</v>
      </c>
      <c r="F51" s="90">
        <f>VLOOKUP(A51,[15]進出口值表查詢結果!$A$2:$C$50,2,0)</f>
        <v>14069</v>
      </c>
      <c r="G51" s="510">
        <f t="shared" si="2"/>
        <v>6.2678939512403158</v>
      </c>
      <c r="H51" s="87">
        <f t="shared" si="9"/>
        <v>2690.8421052631579</v>
      </c>
      <c r="I51" s="88">
        <f t="shared" si="10"/>
        <v>879.3125</v>
      </c>
      <c r="J51" s="512">
        <f t="shared" si="0"/>
        <v>2.0601658742064486</v>
      </c>
    </row>
    <row r="52" spans="1:10">
      <c r="A52" s="453" t="s">
        <v>299</v>
      </c>
      <c r="B52" s="293">
        <f>電輔車!E52</f>
        <v>419</v>
      </c>
      <c r="C52" s="89">
        <f>VLOOKUP(A52,[15]進出口值表查詢結果!$A$2:$C$50,3,0)</f>
        <v>801</v>
      </c>
      <c r="D52" s="511">
        <f t="shared" si="1"/>
        <v>-0.47690387016229713</v>
      </c>
      <c r="E52" s="293">
        <f>電輔車!G52</f>
        <v>1095437</v>
      </c>
      <c r="F52" s="90">
        <f>VLOOKUP(A52,[15]進出口值表查詢結果!$A$2:$C$50,2,0)</f>
        <v>2010916</v>
      </c>
      <c r="G52" s="510">
        <f t="shared" si="2"/>
        <v>-0.45525471973966092</v>
      </c>
      <c r="H52" s="87">
        <f t="shared" si="9"/>
        <v>2614.4081145584723</v>
      </c>
      <c r="I52" s="88">
        <f t="shared" si="10"/>
        <v>2510.5068664169789</v>
      </c>
      <c r="J52" s="512">
        <f t="shared" si="0"/>
        <v>4.1386562025134917E-2</v>
      </c>
    </row>
    <row r="53" spans="1:10">
      <c r="A53" s="454" t="s">
        <v>23</v>
      </c>
      <c r="B53" s="293">
        <f>電輔車!E53</f>
        <v>4</v>
      </c>
      <c r="C53" s="89">
        <f>VLOOKUP(A53,[15]進出口值表查詢結果!$A$2:$C$50,3,0)</f>
        <v>108</v>
      </c>
      <c r="D53" s="511">
        <f t="shared" si="1"/>
        <v>-0.96296296296296291</v>
      </c>
      <c r="E53" s="293">
        <f>電輔車!G53</f>
        <v>12812</v>
      </c>
      <c r="F53" s="90">
        <f>VLOOKUP(A53,[15]進出口值表查詢結果!$A$2:$C$50,2,0)</f>
        <v>289824</v>
      </c>
      <c r="G53" s="510">
        <f t="shared" si="2"/>
        <v>-0.95579386110191011</v>
      </c>
      <c r="H53" s="87">
        <f t="shared" si="9"/>
        <v>3203</v>
      </c>
      <c r="I53" s="88">
        <f t="shared" si="10"/>
        <v>2683.5555555555557</v>
      </c>
      <c r="J53" s="512">
        <f t="shared" si="0"/>
        <v>0.19356575024842659</v>
      </c>
    </row>
    <row r="54" spans="1:10">
      <c r="A54" s="453" t="s">
        <v>305</v>
      </c>
      <c r="B54" s="293">
        <f>電輔車!E54</f>
        <v>601</v>
      </c>
      <c r="C54" s="89">
        <f>VLOOKUP(A54,[15]進出口值表查詢結果!$A$2:$C$50,3,0)</f>
        <v>1351</v>
      </c>
      <c r="D54" s="511">
        <f t="shared" si="1"/>
        <v>-0.55514433752775727</v>
      </c>
      <c r="E54" s="293">
        <f>電輔車!G54</f>
        <v>1527059</v>
      </c>
      <c r="F54" s="90">
        <f>VLOOKUP(A54,[15]進出口值表查詢結果!$A$2:$C$50,2,0)</f>
        <v>3433353</v>
      </c>
      <c r="G54" s="510">
        <f t="shared" si="2"/>
        <v>-0.55522808170322135</v>
      </c>
      <c r="H54" s="87">
        <f t="shared" si="9"/>
        <v>2540.863560732113</v>
      </c>
      <c r="I54" s="88">
        <f t="shared" si="10"/>
        <v>2541.3419689119173</v>
      </c>
      <c r="J54" s="512">
        <f t="shared" si="0"/>
        <v>-1.8825021805670282E-4</v>
      </c>
    </row>
    <row r="55" spans="1:10">
      <c r="A55" s="454" t="s">
        <v>387</v>
      </c>
      <c r="B55" s="293">
        <f>電輔車!E55</f>
        <v>5795</v>
      </c>
      <c r="C55" s="89">
        <f>VLOOKUP(A55,[15]進出口值表查詢結果!$A$2:$C$50,3,0)</f>
        <v>6966</v>
      </c>
      <c r="D55" s="511">
        <f t="shared" si="1"/>
        <v>-0.16810221073786966</v>
      </c>
      <c r="E55" s="293">
        <f>電輔車!G55</f>
        <v>12277030</v>
      </c>
      <c r="F55" s="90">
        <f>VLOOKUP(A55,[15]進出口值表查詢結果!$A$2:$C$50,2,0)</f>
        <v>13340097</v>
      </c>
      <c r="G55" s="510">
        <f t="shared" si="2"/>
        <v>-7.9689600457927709E-2</v>
      </c>
      <c r="H55" s="87">
        <f t="shared" si="9"/>
        <v>2118.5556514236409</v>
      </c>
      <c r="I55" s="88">
        <f t="shared" si="10"/>
        <v>1915.029715762274</v>
      </c>
      <c r="J55" s="512">
        <f t="shared" si="0"/>
        <v>0.10627821280588004</v>
      </c>
    </row>
    <row r="56" spans="1:10">
      <c r="A56" s="454" t="s">
        <v>24</v>
      </c>
      <c r="B56" s="293">
        <f>電輔車!E56</f>
        <v>76</v>
      </c>
      <c r="C56" s="89">
        <f>VLOOKUP(A56,[15]進出口值表查詢結果!$A$2:$C$50,3,0)</f>
        <v>293</v>
      </c>
      <c r="D56" s="511">
        <f t="shared" si="1"/>
        <v>-0.74061433447098979</v>
      </c>
      <c r="E56" s="293">
        <f>電輔車!G56</f>
        <v>219126</v>
      </c>
      <c r="F56" s="90">
        <f>VLOOKUP(A56,[15]進出口值表查詢結果!$A$2:$C$50,2,0)</f>
        <v>894755</v>
      </c>
      <c r="G56" s="510">
        <f t="shared" si="2"/>
        <v>-0.75509944062899903</v>
      </c>
      <c r="H56" s="87">
        <f t="shared" si="9"/>
        <v>2883.2368421052633</v>
      </c>
      <c r="I56" s="88">
        <f t="shared" si="10"/>
        <v>3053.7713310580207</v>
      </c>
      <c r="J56" s="512">
        <f t="shared" si="0"/>
        <v>-5.5843896109167193E-2</v>
      </c>
    </row>
    <row r="57" spans="1:10">
      <c r="A57" s="454" t="s">
        <v>241</v>
      </c>
      <c r="B57" s="293">
        <f>電輔車!E57</f>
        <v>178</v>
      </c>
      <c r="C57" s="89">
        <f>VLOOKUP(A57,[15]進出口值表查詢結果!$A$2:$C$50,3,0)</f>
        <v>4</v>
      </c>
      <c r="D57" s="511">
        <f t="shared" si="1"/>
        <v>43.5</v>
      </c>
      <c r="E57" s="293">
        <f>電輔車!G57</f>
        <v>246489</v>
      </c>
      <c r="F57" s="90">
        <f>VLOOKUP(A57,[15]進出口值表查詢結果!$A$2:$C$50,2,0)</f>
        <v>5325</v>
      </c>
      <c r="G57" s="510">
        <f t="shared" si="2"/>
        <v>45.289014084507045</v>
      </c>
      <c r="H57" s="87">
        <f t="shared" si="9"/>
        <v>1384.7696629213483</v>
      </c>
      <c r="I57" s="88">
        <f t="shared" si="10"/>
        <v>1331.25</v>
      </c>
      <c r="J57" s="512">
        <f t="shared" si="0"/>
        <v>4.0202563696787458E-2</v>
      </c>
    </row>
    <row r="58" spans="1:10">
      <c r="A58" s="294" t="s">
        <v>460</v>
      </c>
      <c r="B58" s="293">
        <f>電輔車!E58</f>
        <v>1057</v>
      </c>
      <c r="C58" s="89">
        <f>VLOOKUP(A58,[15]進出口值表查詢結果!$A$2:$C$50,3,0)</f>
        <v>1001</v>
      </c>
      <c r="D58" s="511">
        <f t="shared" si="1"/>
        <v>5.5944055944055944E-2</v>
      </c>
      <c r="E58" s="293">
        <f>電輔車!G58</f>
        <v>2551770</v>
      </c>
      <c r="F58" s="90">
        <f>VLOOKUP(A58,[15]進出口值表查詢結果!$A$2:$C$50,2,0)</f>
        <v>2136405</v>
      </c>
      <c r="G58" s="510">
        <f t="shared" si="2"/>
        <v>0.19442240586405668</v>
      </c>
      <c r="H58" s="87">
        <f t="shared" si="9"/>
        <v>2414.1627246925259</v>
      </c>
      <c r="I58" s="88">
        <f t="shared" si="10"/>
        <v>2134.2707292707291</v>
      </c>
      <c r="J58" s="512">
        <f t="shared" si="0"/>
        <v>0.13114174859973582</v>
      </c>
    </row>
    <row r="59" spans="1:10">
      <c r="A59" s="454" t="s">
        <v>279</v>
      </c>
      <c r="B59" s="293">
        <f>電輔車!E59</f>
        <v>0</v>
      </c>
      <c r="C59" s="89">
        <v>0</v>
      </c>
      <c r="D59" s="511">
        <f t="shared" si="1"/>
        <v>0</v>
      </c>
      <c r="E59" s="293">
        <f>電輔車!G59</f>
        <v>0</v>
      </c>
      <c r="F59" s="90">
        <v>0</v>
      </c>
      <c r="G59" s="510">
        <f t="shared" si="2"/>
        <v>0</v>
      </c>
      <c r="H59" s="87">
        <f t="shared" si="9"/>
        <v>0</v>
      </c>
      <c r="I59" s="88">
        <f t="shared" si="10"/>
        <v>0</v>
      </c>
      <c r="J59" s="512">
        <f t="shared" si="0"/>
        <v>0</v>
      </c>
    </row>
    <row r="60" spans="1:10">
      <c r="A60" s="454" t="s">
        <v>284</v>
      </c>
      <c r="B60" s="293">
        <f>電輔車!E60</f>
        <v>0</v>
      </c>
      <c r="C60" s="89">
        <v>0</v>
      </c>
      <c r="D60" s="511">
        <f t="shared" si="1"/>
        <v>0</v>
      </c>
      <c r="E60" s="293">
        <f>電輔車!G60</f>
        <v>0</v>
      </c>
      <c r="F60" s="90">
        <v>0</v>
      </c>
      <c r="G60" s="510">
        <f t="shared" si="2"/>
        <v>0</v>
      </c>
      <c r="H60" s="87">
        <f t="shared" si="9"/>
        <v>0</v>
      </c>
      <c r="I60" s="88">
        <f t="shared" si="10"/>
        <v>0</v>
      </c>
      <c r="J60" s="512">
        <f t="shared" si="0"/>
        <v>0</v>
      </c>
    </row>
    <row r="61" spans="1:10">
      <c r="A61" s="454" t="s">
        <v>290</v>
      </c>
      <c r="B61" s="293">
        <f>電輔車!E61</f>
        <v>4910</v>
      </c>
      <c r="C61" s="89">
        <f>VLOOKUP(A61,[15]進出口值表查詢結果!$A$2:$C$50,3,0)</f>
        <v>3244</v>
      </c>
      <c r="D61" s="511">
        <f t="shared" si="1"/>
        <v>0.51356350184956845</v>
      </c>
      <c r="E61" s="293">
        <f>電輔車!G61</f>
        <v>11220827</v>
      </c>
      <c r="F61" s="90">
        <f>VLOOKUP(A61,[15]進出口值表查詢結果!$A$2:$C$50,2,0)</f>
        <v>6899504</v>
      </c>
      <c r="G61" s="510">
        <f t="shared" si="2"/>
        <v>0.62632371834265188</v>
      </c>
      <c r="H61" s="87">
        <f t="shared" si="9"/>
        <v>2285.3008146639513</v>
      </c>
      <c r="I61" s="88">
        <f t="shared" si="10"/>
        <v>2126.8508014796548</v>
      </c>
      <c r="J61" s="512">
        <f t="shared" si="0"/>
        <v>7.4499825316407933E-2</v>
      </c>
    </row>
    <row r="62" spans="1:10">
      <c r="A62" s="454" t="s">
        <v>338</v>
      </c>
      <c r="B62" s="293">
        <f>電輔車!E62</f>
        <v>1106</v>
      </c>
      <c r="C62" s="89">
        <f>VLOOKUP(A62,[15]進出口值表查詢結果!$A$2:$C$50,3,0)</f>
        <v>1445</v>
      </c>
      <c r="D62" s="511">
        <f t="shared" si="1"/>
        <v>-0.23460207612456746</v>
      </c>
      <c r="E62" s="293">
        <f>電輔車!G62</f>
        <v>2900612</v>
      </c>
      <c r="F62" s="90">
        <f>VLOOKUP(A62,[15]進出口值表查詢結果!$A$2:$C$50,2,0)</f>
        <v>3592218</v>
      </c>
      <c r="G62" s="510">
        <f t="shared" si="2"/>
        <v>-0.1925289612156055</v>
      </c>
      <c r="H62" s="87">
        <f t="shared" si="9"/>
        <v>2622.6148282097647</v>
      </c>
      <c r="I62" s="88">
        <f t="shared" si="10"/>
        <v>2485.9640138408304</v>
      </c>
      <c r="J62" s="512">
        <f t="shared" si="0"/>
        <v>5.4968943077260378E-2</v>
      </c>
    </row>
    <row r="63" spans="1:10">
      <c r="A63" s="294" t="s">
        <v>30</v>
      </c>
      <c r="B63" s="293">
        <f>B64-B48-B42-B13-B8</f>
        <v>1125</v>
      </c>
      <c r="C63" s="90">
        <f>[6]電動輔助自行車比較!C63</f>
        <v>2714</v>
      </c>
      <c r="D63" s="511">
        <f t="shared" si="1"/>
        <v>-0.5854826823876198</v>
      </c>
      <c r="E63" s="293">
        <f>E64-E48-E42-E13-E8</f>
        <v>3034997</v>
      </c>
      <c r="F63" s="90">
        <f>[6]電動輔助自行車比較!F63</f>
        <v>7017492</v>
      </c>
      <c r="G63" s="510">
        <f t="shared" si="2"/>
        <v>-0.56750973139691507</v>
      </c>
      <c r="H63" s="87">
        <f t="shared" si="9"/>
        <v>2697.7751111111111</v>
      </c>
      <c r="I63" s="88">
        <f t="shared" si="10"/>
        <v>2585.6639646278554</v>
      </c>
      <c r="J63" s="512">
        <f t="shared" si="0"/>
        <v>4.3358745767797933E-2</v>
      </c>
    </row>
    <row r="64" spans="1:10">
      <c r="A64" s="295" t="s">
        <v>402</v>
      </c>
      <c r="B64" s="296">
        <f>電輔車!E64</f>
        <v>316956</v>
      </c>
      <c r="C64" s="89">
        <f>VLOOKUP(A64,[15]進出口值表查詢結果!$A$2:$C$50,3,0)</f>
        <v>332734</v>
      </c>
      <c r="D64" s="511">
        <f t="shared" si="1"/>
        <v>-4.7419259829172854E-2</v>
      </c>
      <c r="E64" s="293">
        <f>電輔車!G64</f>
        <v>516258492</v>
      </c>
      <c r="F64" s="90">
        <f>VLOOKUP(A64,[15]進出口值表查詢結果!$A$2:$C$50,2,0)</f>
        <v>474200567</v>
      </c>
      <c r="G64" s="510">
        <f t="shared" si="2"/>
        <v>8.8692270585159383E-2</v>
      </c>
      <c r="H64" s="87">
        <f t="shared" ref="H64" si="11">E64/B64</f>
        <v>1628.8017642827397</v>
      </c>
      <c r="I64" s="88">
        <f t="shared" si="10"/>
        <v>1425.1641461347504</v>
      </c>
      <c r="J64" s="512">
        <f t="shared" si="0"/>
        <v>0.14288713247543011</v>
      </c>
    </row>
    <row r="65" spans="1:7">
      <c r="A65" s="298"/>
      <c r="B65" s="299"/>
      <c r="C65" s="300"/>
      <c r="D65" s="301"/>
      <c r="E65" s="299"/>
      <c r="F65" s="300"/>
      <c r="G65" s="301"/>
    </row>
    <row r="66" spans="1:7" ht="13.5" customHeight="1">
      <c r="A66" s="302" t="s">
        <v>61</v>
      </c>
    </row>
  </sheetData>
  <phoneticPr fontId="3" type="noConversion"/>
  <conditionalFormatting sqref="D1:D5">
    <cfRule type="cellIs" dxfId="56" priority="3" operator="greaterThanOrEqual">
      <formula>0</formula>
    </cfRule>
    <cfRule type="cellIs" dxfId="55" priority="4" operator="lessThan">
      <formula>0</formula>
    </cfRule>
  </conditionalFormatting>
  <conditionalFormatting sqref="D7:D1048576">
    <cfRule type="cellIs" dxfId="54" priority="43" operator="greaterThanOrEqual">
      <formula>0</formula>
    </cfRule>
    <cfRule type="cellIs" dxfId="53" priority="44" operator="lessThan">
      <formula>0</formula>
    </cfRule>
  </conditionalFormatting>
  <conditionalFormatting sqref="G1:G5">
    <cfRule type="cellIs" dxfId="52" priority="1" operator="greaterThanOrEqual">
      <formula>0</formula>
    </cfRule>
    <cfRule type="cellIs" dxfId="51" priority="2" operator="lessThan">
      <formula>0</formula>
    </cfRule>
  </conditionalFormatting>
  <conditionalFormatting sqref="G7:G1048576 J7:J1048576">
    <cfRule type="cellIs" dxfId="50" priority="5" operator="greaterThanOrEqual">
      <formula>0</formula>
    </cfRule>
    <cfRule type="cellIs" dxfId="49" priority="6" operator="lessThan">
      <formula>0</formula>
    </cfRule>
  </conditionalFormatting>
  <conditionalFormatting sqref="J1:J4">
    <cfRule type="cellIs" dxfId="48" priority="39" operator="greaterThanOrEqual">
      <formula>0</formula>
    </cfRule>
    <cfRule type="cellIs" dxfId="47" priority="40" operator="lessThan">
      <formula>0</formula>
    </cfRule>
  </conditionalFormatting>
  <pageMargins left="0.51181102362204722" right="0.51181102362204722" top="0.55118110236220474" bottom="0.15748031496062992" header="0.31496062992125984" footer="0.31496062992125984"/>
  <pageSetup paperSize="9" scale="6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44"/>
  <sheetViews>
    <sheetView zoomScaleNormal="100" workbookViewId="0">
      <selection activeCell="A2" sqref="A2"/>
    </sheetView>
  </sheetViews>
  <sheetFormatPr defaultRowHeight="16.5"/>
  <cols>
    <col min="1" max="1" width="7.125" style="5" customWidth="1"/>
    <col min="2" max="2" width="11.25" style="5" customWidth="1"/>
    <col min="3" max="3" width="13" style="306" customWidth="1"/>
    <col min="4" max="4" width="10.75" style="307" customWidth="1"/>
    <col min="5" max="5" width="14.625" style="5" customWidth="1"/>
    <col min="6" max="6" width="18.75" style="306" customWidth="1"/>
    <col min="7" max="7" width="11" style="307" customWidth="1"/>
    <col min="8" max="8" width="8.875" style="5"/>
    <col min="9" max="9" width="10.875" style="5" customWidth="1"/>
    <col min="10" max="10" width="12.125" style="5" customWidth="1"/>
    <col min="11" max="11" width="10.5" style="5" bestFit="1" customWidth="1"/>
    <col min="12" max="12" width="8.875" style="5"/>
    <col min="13" max="13" width="10.125" style="5" customWidth="1"/>
    <col min="14" max="14" width="10.625" style="5" bestFit="1" customWidth="1"/>
    <col min="15" max="250" width="8.875" style="5"/>
    <col min="251" max="251" width="7.125" style="5" customWidth="1"/>
    <col min="252" max="252" width="11.25" style="5" customWidth="1"/>
    <col min="253" max="253" width="13" style="5" customWidth="1"/>
    <col min="254" max="254" width="10.75" style="5" customWidth="1"/>
    <col min="255" max="255" width="14.625" style="5" customWidth="1"/>
    <col min="256" max="256" width="15.125" style="5" customWidth="1"/>
    <col min="257" max="257" width="11" style="5" customWidth="1"/>
    <col min="258" max="506" width="8.875" style="5"/>
    <col min="507" max="507" width="7.125" style="5" customWidth="1"/>
    <col min="508" max="508" width="11.25" style="5" customWidth="1"/>
    <col min="509" max="509" width="13" style="5" customWidth="1"/>
    <col min="510" max="510" width="10.75" style="5" customWidth="1"/>
    <col min="511" max="511" width="14.625" style="5" customWidth="1"/>
    <col min="512" max="512" width="15.125" style="5" customWidth="1"/>
    <col min="513" max="513" width="11" style="5" customWidth="1"/>
    <col min="514" max="762" width="8.875" style="5"/>
    <col min="763" max="763" width="7.125" style="5" customWidth="1"/>
    <col min="764" max="764" width="11.25" style="5" customWidth="1"/>
    <col min="765" max="765" width="13" style="5" customWidth="1"/>
    <col min="766" max="766" width="10.75" style="5" customWidth="1"/>
    <col min="767" max="767" width="14.625" style="5" customWidth="1"/>
    <col min="768" max="768" width="15.125" style="5" customWidth="1"/>
    <col min="769" max="769" width="11" style="5" customWidth="1"/>
    <col min="770" max="1018" width="8.875" style="5"/>
    <col min="1019" max="1019" width="7.125" style="5" customWidth="1"/>
    <col min="1020" max="1020" width="11.25" style="5" customWidth="1"/>
    <col min="1021" max="1021" width="13" style="5" customWidth="1"/>
    <col min="1022" max="1022" width="10.75" style="5" customWidth="1"/>
    <col min="1023" max="1023" width="14.625" style="5" customWidth="1"/>
    <col min="1024" max="1024" width="15.125" style="5" customWidth="1"/>
    <col min="1025" max="1025" width="11" style="5" customWidth="1"/>
    <col min="1026" max="1274" width="8.875" style="5"/>
    <col min="1275" max="1275" width="7.125" style="5" customWidth="1"/>
    <col min="1276" max="1276" width="11.25" style="5" customWidth="1"/>
    <col min="1277" max="1277" width="13" style="5" customWidth="1"/>
    <col min="1278" max="1278" width="10.75" style="5" customWidth="1"/>
    <col min="1279" max="1279" width="14.625" style="5" customWidth="1"/>
    <col min="1280" max="1280" width="15.125" style="5" customWidth="1"/>
    <col min="1281" max="1281" width="11" style="5" customWidth="1"/>
    <col min="1282" max="1530" width="8.875" style="5"/>
    <col min="1531" max="1531" width="7.125" style="5" customWidth="1"/>
    <col min="1532" max="1532" width="11.25" style="5" customWidth="1"/>
    <col min="1533" max="1533" width="13" style="5" customWidth="1"/>
    <col min="1534" max="1534" width="10.75" style="5" customWidth="1"/>
    <col min="1535" max="1535" width="14.625" style="5" customWidth="1"/>
    <col min="1536" max="1536" width="15.125" style="5" customWidth="1"/>
    <col min="1537" max="1537" width="11" style="5" customWidth="1"/>
    <col min="1538" max="1786" width="8.875" style="5"/>
    <col min="1787" max="1787" width="7.125" style="5" customWidth="1"/>
    <col min="1788" max="1788" width="11.25" style="5" customWidth="1"/>
    <col min="1789" max="1789" width="13" style="5" customWidth="1"/>
    <col min="1790" max="1790" width="10.75" style="5" customWidth="1"/>
    <col min="1791" max="1791" width="14.625" style="5" customWidth="1"/>
    <col min="1792" max="1792" width="15.125" style="5" customWidth="1"/>
    <col min="1793" max="1793" width="11" style="5" customWidth="1"/>
    <col min="1794" max="2042" width="8.875" style="5"/>
    <col min="2043" max="2043" width="7.125" style="5" customWidth="1"/>
    <col min="2044" max="2044" width="11.25" style="5" customWidth="1"/>
    <col min="2045" max="2045" width="13" style="5" customWidth="1"/>
    <col min="2046" max="2046" width="10.75" style="5" customWidth="1"/>
    <col min="2047" max="2047" width="14.625" style="5" customWidth="1"/>
    <col min="2048" max="2048" width="15.125" style="5" customWidth="1"/>
    <col min="2049" max="2049" width="11" style="5" customWidth="1"/>
    <col min="2050" max="2298" width="8.875" style="5"/>
    <col min="2299" max="2299" width="7.125" style="5" customWidth="1"/>
    <col min="2300" max="2300" width="11.25" style="5" customWidth="1"/>
    <col min="2301" max="2301" width="13" style="5" customWidth="1"/>
    <col min="2302" max="2302" width="10.75" style="5" customWidth="1"/>
    <col min="2303" max="2303" width="14.625" style="5" customWidth="1"/>
    <col min="2304" max="2304" width="15.125" style="5" customWidth="1"/>
    <col min="2305" max="2305" width="11" style="5" customWidth="1"/>
    <col min="2306" max="2554" width="8.875" style="5"/>
    <col min="2555" max="2555" width="7.125" style="5" customWidth="1"/>
    <col min="2556" max="2556" width="11.25" style="5" customWidth="1"/>
    <col min="2557" max="2557" width="13" style="5" customWidth="1"/>
    <col min="2558" max="2558" width="10.75" style="5" customWidth="1"/>
    <col min="2559" max="2559" width="14.625" style="5" customWidth="1"/>
    <col min="2560" max="2560" width="15.125" style="5" customWidth="1"/>
    <col min="2561" max="2561" width="11" style="5" customWidth="1"/>
    <col min="2562" max="2810" width="8.875" style="5"/>
    <col min="2811" max="2811" width="7.125" style="5" customWidth="1"/>
    <col min="2812" max="2812" width="11.25" style="5" customWidth="1"/>
    <col min="2813" max="2813" width="13" style="5" customWidth="1"/>
    <col min="2814" max="2814" width="10.75" style="5" customWidth="1"/>
    <col min="2815" max="2815" width="14.625" style="5" customWidth="1"/>
    <col min="2816" max="2816" width="15.125" style="5" customWidth="1"/>
    <col min="2817" max="2817" width="11" style="5" customWidth="1"/>
    <col min="2818" max="3066" width="8.875" style="5"/>
    <col min="3067" max="3067" width="7.125" style="5" customWidth="1"/>
    <col min="3068" max="3068" width="11.25" style="5" customWidth="1"/>
    <col min="3069" max="3069" width="13" style="5" customWidth="1"/>
    <col min="3070" max="3070" width="10.75" style="5" customWidth="1"/>
    <col min="3071" max="3071" width="14.625" style="5" customWidth="1"/>
    <col min="3072" max="3072" width="15.125" style="5" customWidth="1"/>
    <col min="3073" max="3073" width="11" style="5" customWidth="1"/>
    <col min="3074" max="3322" width="8.875" style="5"/>
    <col min="3323" max="3323" width="7.125" style="5" customWidth="1"/>
    <col min="3324" max="3324" width="11.25" style="5" customWidth="1"/>
    <col min="3325" max="3325" width="13" style="5" customWidth="1"/>
    <col min="3326" max="3326" width="10.75" style="5" customWidth="1"/>
    <col min="3327" max="3327" width="14.625" style="5" customWidth="1"/>
    <col min="3328" max="3328" width="15.125" style="5" customWidth="1"/>
    <col min="3329" max="3329" width="11" style="5" customWidth="1"/>
    <col min="3330" max="3578" width="8.875" style="5"/>
    <col min="3579" max="3579" width="7.125" style="5" customWidth="1"/>
    <col min="3580" max="3580" width="11.25" style="5" customWidth="1"/>
    <col min="3581" max="3581" width="13" style="5" customWidth="1"/>
    <col min="3582" max="3582" width="10.75" style="5" customWidth="1"/>
    <col min="3583" max="3583" width="14.625" style="5" customWidth="1"/>
    <col min="3584" max="3584" width="15.125" style="5" customWidth="1"/>
    <col min="3585" max="3585" width="11" style="5" customWidth="1"/>
    <col min="3586" max="3834" width="8.875" style="5"/>
    <col min="3835" max="3835" width="7.125" style="5" customWidth="1"/>
    <col min="3836" max="3836" width="11.25" style="5" customWidth="1"/>
    <col min="3837" max="3837" width="13" style="5" customWidth="1"/>
    <col min="3838" max="3838" width="10.75" style="5" customWidth="1"/>
    <col min="3839" max="3839" width="14.625" style="5" customWidth="1"/>
    <col min="3840" max="3840" width="15.125" style="5" customWidth="1"/>
    <col min="3841" max="3841" width="11" style="5" customWidth="1"/>
    <col min="3842" max="4090" width="8.875" style="5"/>
    <col min="4091" max="4091" width="7.125" style="5" customWidth="1"/>
    <col min="4092" max="4092" width="11.25" style="5" customWidth="1"/>
    <col min="4093" max="4093" width="13" style="5" customWidth="1"/>
    <col min="4094" max="4094" width="10.75" style="5" customWidth="1"/>
    <col min="4095" max="4095" width="14.625" style="5" customWidth="1"/>
    <col min="4096" max="4096" width="15.125" style="5" customWidth="1"/>
    <col min="4097" max="4097" width="11" style="5" customWidth="1"/>
    <col min="4098" max="4346" width="8.875" style="5"/>
    <col min="4347" max="4347" width="7.125" style="5" customWidth="1"/>
    <col min="4348" max="4348" width="11.25" style="5" customWidth="1"/>
    <col min="4349" max="4349" width="13" style="5" customWidth="1"/>
    <col min="4350" max="4350" width="10.75" style="5" customWidth="1"/>
    <col min="4351" max="4351" width="14.625" style="5" customWidth="1"/>
    <col min="4352" max="4352" width="15.125" style="5" customWidth="1"/>
    <col min="4353" max="4353" width="11" style="5" customWidth="1"/>
    <col min="4354" max="4602" width="8.875" style="5"/>
    <col min="4603" max="4603" width="7.125" style="5" customWidth="1"/>
    <col min="4604" max="4604" width="11.25" style="5" customWidth="1"/>
    <col min="4605" max="4605" width="13" style="5" customWidth="1"/>
    <col min="4606" max="4606" width="10.75" style="5" customWidth="1"/>
    <col min="4607" max="4607" width="14.625" style="5" customWidth="1"/>
    <col min="4608" max="4608" width="15.125" style="5" customWidth="1"/>
    <col min="4609" max="4609" width="11" style="5" customWidth="1"/>
    <col min="4610" max="4858" width="8.875" style="5"/>
    <col min="4859" max="4859" width="7.125" style="5" customWidth="1"/>
    <col min="4860" max="4860" width="11.25" style="5" customWidth="1"/>
    <col min="4861" max="4861" width="13" style="5" customWidth="1"/>
    <col min="4862" max="4862" width="10.75" style="5" customWidth="1"/>
    <col min="4863" max="4863" width="14.625" style="5" customWidth="1"/>
    <col min="4864" max="4864" width="15.125" style="5" customWidth="1"/>
    <col min="4865" max="4865" width="11" style="5" customWidth="1"/>
    <col min="4866" max="5114" width="8.875" style="5"/>
    <col min="5115" max="5115" width="7.125" style="5" customWidth="1"/>
    <col min="5116" max="5116" width="11.25" style="5" customWidth="1"/>
    <col min="5117" max="5117" width="13" style="5" customWidth="1"/>
    <col min="5118" max="5118" width="10.75" style="5" customWidth="1"/>
    <col min="5119" max="5119" width="14.625" style="5" customWidth="1"/>
    <col min="5120" max="5120" width="15.125" style="5" customWidth="1"/>
    <col min="5121" max="5121" width="11" style="5" customWidth="1"/>
    <col min="5122" max="5370" width="8.875" style="5"/>
    <col min="5371" max="5371" width="7.125" style="5" customWidth="1"/>
    <col min="5372" max="5372" width="11.25" style="5" customWidth="1"/>
    <col min="5373" max="5373" width="13" style="5" customWidth="1"/>
    <col min="5374" max="5374" width="10.75" style="5" customWidth="1"/>
    <col min="5375" max="5375" width="14.625" style="5" customWidth="1"/>
    <col min="5376" max="5376" width="15.125" style="5" customWidth="1"/>
    <col min="5377" max="5377" width="11" style="5" customWidth="1"/>
    <col min="5378" max="5626" width="8.875" style="5"/>
    <col min="5627" max="5627" width="7.125" style="5" customWidth="1"/>
    <col min="5628" max="5628" width="11.25" style="5" customWidth="1"/>
    <col min="5629" max="5629" width="13" style="5" customWidth="1"/>
    <col min="5630" max="5630" width="10.75" style="5" customWidth="1"/>
    <col min="5631" max="5631" width="14.625" style="5" customWidth="1"/>
    <col min="5632" max="5632" width="15.125" style="5" customWidth="1"/>
    <col min="5633" max="5633" width="11" style="5" customWidth="1"/>
    <col min="5634" max="5882" width="8.875" style="5"/>
    <col min="5883" max="5883" width="7.125" style="5" customWidth="1"/>
    <col min="5884" max="5884" width="11.25" style="5" customWidth="1"/>
    <col min="5885" max="5885" width="13" style="5" customWidth="1"/>
    <col min="5886" max="5886" width="10.75" style="5" customWidth="1"/>
    <col min="5887" max="5887" width="14.625" style="5" customWidth="1"/>
    <col min="5888" max="5888" width="15.125" style="5" customWidth="1"/>
    <col min="5889" max="5889" width="11" style="5" customWidth="1"/>
    <col min="5890" max="6138" width="8.875" style="5"/>
    <col min="6139" max="6139" width="7.125" style="5" customWidth="1"/>
    <col min="6140" max="6140" width="11.25" style="5" customWidth="1"/>
    <col min="6141" max="6141" width="13" style="5" customWidth="1"/>
    <col min="6142" max="6142" width="10.75" style="5" customWidth="1"/>
    <col min="6143" max="6143" width="14.625" style="5" customWidth="1"/>
    <col min="6144" max="6144" width="15.125" style="5" customWidth="1"/>
    <col min="6145" max="6145" width="11" style="5" customWidth="1"/>
    <col min="6146" max="6394" width="8.875" style="5"/>
    <col min="6395" max="6395" width="7.125" style="5" customWidth="1"/>
    <col min="6396" max="6396" width="11.25" style="5" customWidth="1"/>
    <col min="6397" max="6397" width="13" style="5" customWidth="1"/>
    <col min="6398" max="6398" width="10.75" style="5" customWidth="1"/>
    <col min="6399" max="6399" width="14.625" style="5" customWidth="1"/>
    <col min="6400" max="6400" width="15.125" style="5" customWidth="1"/>
    <col min="6401" max="6401" width="11" style="5" customWidth="1"/>
    <col min="6402" max="6650" width="8.875" style="5"/>
    <col min="6651" max="6651" width="7.125" style="5" customWidth="1"/>
    <col min="6652" max="6652" width="11.25" style="5" customWidth="1"/>
    <col min="6653" max="6653" width="13" style="5" customWidth="1"/>
    <col min="6654" max="6654" width="10.75" style="5" customWidth="1"/>
    <col min="6655" max="6655" width="14.625" style="5" customWidth="1"/>
    <col min="6656" max="6656" width="15.125" style="5" customWidth="1"/>
    <col min="6657" max="6657" width="11" style="5" customWidth="1"/>
    <col min="6658" max="6906" width="8.875" style="5"/>
    <col min="6907" max="6907" width="7.125" style="5" customWidth="1"/>
    <col min="6908" max="6908" width="11.25" style="5" customWidth="1"/>
    <col min="6909" max="6909" width="13" style="5" customWidth="1"/>
    <col min="6910" max="6910" width="10.75" style="5" customWidth="1"/>
    <col min="6911" max="6911" width="14.625" style="5" customWidth="1"/>
    <col min="6912" max="6912" width="15.125" style="5" customWidth="1"/>
    <col min="6913" max="6913" width="11" style="5" customWidth="1"/>
    <col min="6914" max="7162" width="8.875" style="5"/>
    <col min="7163" max="7163" width="7.125" style="5" customWidth="1"/>
    <col min="7164" max="7164" width="11.25" style="5" customWidth="1"/>
    <col min="7165" max="7165" width="13" style="5" customWidth="1"/>
    <col min="7166" max="7166" width="10.75" style="5" customWidth="1"/>
    <col min="7167" max="7167" width="14.625" style="5" customWidth="1"/>
    <col min="7168" max="7168" width="15.125" style="5" customWidth="1"/>
    <col min="7169" max="7169" width="11" style="5" customWidth="1"/>
    <col min="7170" max="7418" width="8.875" style="5"/>
    <col min="7419" max="7419" width="7.125" style="5" customWidth="1"/>
    <col min="7420" max="7420" width="11.25" style="5" customWidth="1"/>
    <col min="7421" max="7421" width="13" style="5" customWidth="1"/>
    <col min="7422" max="7422" width="10.75" style="5" customWidth="1"/>
    <col min="7423" max="7423" width="14.625" style="5" customWidth="1"/>
    <col min="7424" max="7424" width="15.125" style="5" customWidth="1"/>
    <col min="7425" max="7425" width="11" style="5" customWidth="1"/>
    <col min="7426" max="7674" width="8.875" style="5"/>
    <col min="7675" max="7675" width="7.125" style="5" customWidth="1"/>
    <col min="7676" max="7676" width="11.25" style="5" customWidth="1"/>
    <col min="7677" max="7677" width="13" style="5" customWidth="1"/>
    <col min="7678" max="7678" width="10.75" style="5" customWidth="1"/>
    <col min="7679" max="7679" width="14.625" style="5" customWidth="1"/>
    <col min="7680" max="7680" width="15.125" style="5" customWidth="1"/>
    <col min="7681" max="7681" width="11" style="5" customWidth="1"/>
    <col min="7682" max="7930" width="8.875" style="5"/>
    <col min="7931" max="7931" width="7.125" style="5" customWidth="1"/>
    <col min="7932" max="7932" width="11.25" style="5" customWidth="1"/>
    <col min="7933" max="7933" width="13" style="5" customWidth="1"/>
    <col min="7934" max="7934" width="10.75" style="5" customWidth="1"/>
    <col min="7935" max="7935" width="14.625" style="5" customWidth="1"/>
    <col min="7936" max="7936" width="15.125" style="5" customWidth="1"/>
    <col min="7937" max="7937" width="11" style="5" customWidth="1"/>
    <col min="7938" max="8186" width="8.875" style="5"/>
    <col min="8187" max="8187" width="7.125" style="5" customWidth="1"/>
    <col min="8188" max="8188" width="11.25" style="5" customWidth="1"/>
    <col min="8189" max="8189" width="13" style="5" customWidth="1"/>
    <col min="8190" max="8190" width="10.75" style="5" customWidth="1"/>
    <col min="8191" max="8191" width="14.625" style="5" customWidth="1"/>
    <col min="8192" max="8192" width="15.125" style="5" customWidth="1"/>
    <col min="8193" max="8193" width="11" style="5" customWidth="1"/>
    <col min="8194" max="8442" width="8.875" style="5"/>
    <col min="8443" max="8443" width="7.125" style="5" customWidth="1"/>
    <col min="8444" max="8444" width="11.25" style="5" customWidth="1"/>
    <col min="8445" max="8445" width="13" style="5" customWidth="1"/>
    <col min="8446" max="8446" width="10.75" style="5" customWidth="1"/>
    <col min="8447" max="8447" width="14.625" style="5" customWidth="1"/>
    <col min="8448" max="8448" width="15.125" style="5" customWidth="1"/>
    <col min="8449" max="8449" width="11" style="5" customWidth="1"/>
    <col min="8450" max="8698" width="8.875" style="5"/>
    <col min="8699" max="8699" width="7.125" style="5" customWidth="1"/>
    <col min="8700" max="8700" width="11.25" style="5" customWidth="1"/>
    <col min="8701" max="8701" width="13" style="5" customWidth="1"/>
    <col min="8702" max="8702" width="10.75" style="5" customWidth="1"/>
    <col min="8703" max="8703" width="14.625" style="5" customWidth="1"/>
    <col min="8704" max="8704" width="15.125" style="5" customWidth="1"/>
    <col min="8705" max="8705" width="11" style="5" customWidth="1"/>
    <col min="8706" max="8954" width="8.875" style="5"/>
    <col min="8955" max="8955" width="7.125" style="5" customWidth="1"/>
    <col min="8956" max="8956" width="11.25" style="5" customWidth="1"/>
    <col min="8957" max="8957" width="13" style="5" customWidth="1"/>
    <col min="8958" max="8958" width="10.75" style="5" customWidth="1"/>
    <col min="8959" max="8959" width="14.625" style="5" customWidth="1"/>
    <col min="8960" max="8960" width="15.125" style="5" customWidth="1"/>
    <col min="8961" max="8961" width="11" style="5" customWidth="1"/>
    <col min="8962" max="9210" width="8.875" style="5"/>
    <col min="9211" max="9211" width="7.125" style="5" customWidth="1"/>
    <col min="9212" max="9212" width="11.25" style="5" customWidth="1"/>
    <col min="9213" max="9213" width="13" style="5" customWidth="1"/>
    <col min="9214" max="9214" width="10.75" style="5" customWidth="1"/>
    <col min="9215" max="9215" width="14.625" style="5" customWidth="1"/>
    <col min="9216" max="9216" width="15.125" style="5" customWidth="1"/>
    <col min="9217" max="9217" width="11" style="5" customWidth="1"/>
    <col min="9218" max="9466" width="8.875" style="5"/>
    <col min="9467" max="9467" width="7.125" style="5" customWidth="1"/>
    <col min="9468" max="9468" width="11.25" style="5" customWidth="1"/>
    <col min="9469" max="9469" width="13" style="5" customWidth="1"/>
    <col min="9470" max="9470" width="10.75" style="5" customWidth="1"/>
    <col min="9471" max="9471" width="14.625" style="5" customWidth="1"/>
    <col min="9472" max="9472" width="15.125" style="5" customWidth="1"/>
    <col min="9473" max="9473" width="11" style="5" customWidth="1"/>
    <col min="9474" max="9722" width="8.875" style="5"/>
    <col min="9723" max="9723" width="7.125" style="5" customWidth="1"/>
    <col min="9724" max="9724" width="11.25" style="5" customWidth="1"/>
    <col min="9725" max="9725" width="13" style="5" customWidth="1"/>
    <col min="9726" max="9726" width="10.75" style="5" customWidth="1"/>
    <col min="9727" max="9727" width="14.625" style="5" customWidth="1"/>
    <col min="9728" max="9728" width="15.125" style="5" customWidth="1"/>
    <col min="9729" max="9729" width="11" style="5" customWidth="1"/>
    <col min="9730" max="9978" width="8.875" style="5"/>
    <col min="9979" max="9979" width="7.125" style="5" customWidth="1"/>
    <col min="9980" max="9980" width="11.25" style="5" customWidth="1"/>
    <col min="9981" max="9981" width="13" style="5" customWidth="1"/>
    <col min="9982" max="9982" width="10.75" style="5" customWidth="1"/>
    <col min="9983" max="9983" width="14.625" style="5" customWidth="1"/>
    <col min="9984" max="9984" width="15.125" style="5" customWidth="1"/>
    <col min="9985" max="9985" width="11" style="5" customWidth="1"/>
    <col min="9986" max="10234" width="8.875" style="5"/>
    <col min="10235" max="10235" width="7.125" style="5" customWidth="1"/>
    <col min="10236" max="10236" width="11.25" style="5" customWidth="1"/>
    <col min="10237" max="10237" width="13" style="5" customWidth="1"/>
    <col min="10238" max="10238" width="10.75" style="5" customWidth="1"/>
    <col min="10239" max="10239" width="14.625" style="5" customWidth="1"/>
    <col min="10240" max="10240" width="15.125" style="5" customWidth="1"/>
    <col min="10241" max="10241" width="11" style="5" customWidth="1"/>
    <col min="10242" max="10490" width="8.875" style="5"/>
    <col min="10491" max="10491" width="7.125" style="5" customWidth="1"/>
    <col min="10492" max="10492" width="11.25" style="5" customWidth="1"/>
    <col min="10493" max="10493" width="13" style="5" customWidth="1"/>
    <col min="10494" max="10494" width="10.75" style="5" customWidth="1"/>
    <col min="10495" max="10495" width="14.625" style="5" customWidth="1"/>
    <col min="10496" max="10496" width="15.125" style="5" customWidth="1"/>
    <col min="10497" max="10497" width="11" style="5" customWidth="1"/>
    <col min="10498" max="10746" width="8.875" style="5"/>
    <col min="10747" max="10747" width="7.125" style="5" customWidth="1"/>
    <col min="10748" max="10748" width="11.25" style="5" customWidth="1"/>
    <col min="10749" max="10749" width="13" style="5" customWidth="1"/>
    <col min="10750" max="10750" width="10.75" style="5" customWidth="1"/>
    <col min="10751" max="10751" width="14.625" style="5" customWidth="1"/>
    <col min="10752" max="10752" width="15.125" style="5" customWidth="1"/>
    <col min="10753" max="10753" width="11" style="5" customWidth="1"/>
    <col min="10754" max="11002" width="8.875" style="5"/>
    <col min="11003" max="11003" width="7.125" style="5" customWidth="1"/>
    <col min="11004" max="11004" width="11.25" style="5" customWidth="1"/>
    <col min="11005" max="11005" width="13" style="5" customWidth="1"/>
    <col min="11006" max="11006" width="10.75" style="5" customWidth="1"/>
    <col min="11007" max="11007" width="14.625" style="5" customWidth="1"/>
    <col min="11008" max="11008" width="15.125" style="5" customWidth="1"/>
    <col min="11009" max="11009" width="11" style="5" customWidth="1"/>
    <col min="11010" max="11258" width="8.875" style="5"/>
    <col min="11259" max="11259" width="7.125" style="5" customWidth="1"/>
    <col min="11260" max="11260" width="11.25" style="5" customWidth="1"/>
    <col min="11261" max="11261" width="13" style="5" customWidth="1"/>
    <col min="11262" max="11262" width="10.75" style="5" customWidth="1"/>
    <col min="11263" max="11263" width="14.625" style="5" customWidth="1"/>
    <col min="11264" max="11264" width="15.125" style="5" customWidth="1"/>
    <col min="11265" max="11265" width="11" style="5" customWidth="1"/>
    <col min="11266" max="11514" width="8.875" style="5"/>
    <col min="11515" max="11515" width="7.125" style="5" customWidth="1"/>
    <col min="11516" max="11516" width="11.25" style="5" customWidth="1"/>
    <col min="11517" max="11517" width="13" style="5" customWidth="1"/>
    <col min="11518" max="11518" width="10.75" style="5" customWidth="1"/>
    <col min="11519" max="11519" width="14.625" style="5" customWidth="1"/>
    <col min="11520" max="11520" width="15.125" style="5" customWidth="1"/>
    <col min="11521" max="11521" width="11" style="5" customWidth="1"/>
    <col min="11522" max="11770" width="8.875" style="5"/>
    <col min="11771" max="11771" width="7.125" style="5" customWidth="1"/>
    <col min="11772" max="11772" width="11.25" style="5" customWidth="1"/>
    <col min="11773" max="11773" width="13" style="5" customWidth="1"/>
    <col min="11774" max="11774" width="10.75" style="5" customWidth="1"/>
    <col min="11775" max="11775" width="14.625" style="5" customWidth="1"/>
    <col min="11776" max="11776" width="15.125" style="5" customWidth="1"/>
    <col min="11777" max="11777" width="11" style="5" customWidth="1"/>
    <col min="11778" max="12026" width="8.875" style="5"/>
    <col min="12027" max="12027" width="7.125" style="5" customWidth="1"/>
    <col min="12028" max="12028" width="11.25" style="5" customWidth="1"/>
    <col min="12029" max="12029" width="13" style="5" customWidth="1"/>
    <col min="12030" max="12030" width="10.75" style="5" customWidth="1"/>
    <col min="12031" max="12031" width="14.625" style="5" customWidth="1"/>
    <col min="12032" max="12032" width="15.125" style="5" customWidth="1"/>
    <col min="12033" max="12033" width="11" style="5" customWidth="1"/>
    <col min="12034" max="12282" width="8.875" style="5"/>
    <col min="12283" max="12283" width="7.125" style="5" customWidth="1"/>
    <col min="12284" max="12284" width="11.25" style="5" customWidth="1"/>
    <col min="12285" max="12285" width="13" style="5" customWidth="1"/>
    <col min="12286" max="12286" width="10.75" style="5" customWidth="1"/>
    <col min="12287" max="12287" width="14.625" style="5" customWidth="1"/>
    <col min="12288" max="12288" width="15.125" style="5" customWidth="1"/>
    <col min="12289" max="12289" width="11" style="5" customWidth="1"/>
    <col min="12290" max="12538" width="8.875" style="5"/>
    <col min="12539" max="12539" width="7.125" style="5" customWidth="1"/>
    <col min="12540" max="12540" width="11.25" style="5" customWidth="1"/>
    <col min="12541" max="12541" width="13" style="5" customWidth="1"/>
    <col min="12542" max="12542" width="10.75" style="5" customWidth="1"/>
    <col min="12543" max="12543" width="14.625" style="5" customWidth="1"/>
    <col min="12544" max="12544" width="15.125" style="5" customWidth="1"/>
    <col min="12545" max="12545" width="11" style="5" customWidth="1"/>
    <col min="12546" max="12794" width="8.875" style="5"/>
    <col min="12795" max="12795" width="7.125" style="5" customWidth="1"/>
    <col min="12796" max="12796" width="11.25" style="5" customWidth="1"/>
    <col min="12797" max="12797" width="13" style="5" customWidth="1"/>
    <col min="12798" max="12798" width="10.75" style="5" customWidth="1"/>
    <col min="12799" max="12799" width="14.625" style="5" customWidth="1"/>
    <col min="12800" max="12800" width="15.125" style="5" customWidth="1"/>
    <col min="12801" max="12801" width="11" style="5" customWidth="1"/>
    <col min="12802" max="13050" width="8.875" style="5"/>
    <col min="13051" max="13051" width="7.125" style="5" customWidth="1"/>
    <col min="13052" max="13052" width="11.25" style="5" customWidth="1"/>
    <col min="13053" max="13053" width="13" style="5" customWidth="1"/>
    <col min="13054" max="13054" width="10.75" style="5" customWidth="1"/>
    <col min="13055" max="13055" width="14.625" style="5" customWidth="1"/>
    <col min="13056" max="13056" width="15.125" style="5" customWidth="1"/>
    <col min="13057" max="13057" width="11" style="5" customWidth="1"/>
    <col min="13058" max="13306" width="8.875" style="5"/>
    <col min="13307" max="13307" width="7.125" style="5" customWidth="1"/>
    <col min="13308" max="13308" width="11.25" style="5" customWidth="1"/>
    <col min="13309" max="13309" width="13" style="5" customWidth="1"/>
    <col min="13310" max="13310" width="10.75" style="5" customWidth="1"/>
    <col min="13311" max="13311" width="14.625" style="5" customWidth="1"/>
    <col min="13312" max="13312" width="15.125" style="5" customWidth="1"/>
    <col min="13313" max="13313" width="11" style="5" customWidth="1"/>
    <col min="13314" max="13562" width="8.875" style="5"/>
    <col min="13563" max="13563" width="7.125" style="5" customWidth="1"/>
    <col min="13564" max="13564" width="11.25" style="5" customWidth="1"/>
    <col min="13565" max="13565" width="13" style="5" customWidth="1"/>
    <col min="13566" max="13566" width="10.75" style="5" customWidth="1"/>
    <col min="13567" max="13567" width="14.625" style="5" customWidth="1"/>
    <col min="13568" max="13568" width="15.125" style="5" customWidth="1"/>
    <col min="13569" max="13569" width="11" style="5" customWidth="1"/>
    <col min="13570" max="13818" width="8.875" style="5"/>
    <col min="13819" max="13819" width="7.125" style="5" customWidth="1"/>
    <col min="13820" max="13820" width="11.25" style="5" customWidth="1"/>
    <col min="13821" max="13821" width="13" style="5" customWidth="1"/>
    <col min="13822" max="13822" width="10.75" style="5" customWidth="1"/>
    <col min="13823" max="13823" width="14.625" style="5" customWidth="1"/>
    <col min="13824" max="13824" width="15.125" style="5" customWidth="1"/>
    <col min="13825" max="13825" width="11" style="5" customWidth="1"/>
    <col min="13826" max="14074" width="8.875" style="5"/>
    <col min="14075" max="14075" width="7.125" style="5" customWidth="1"/>
    <col min="14076" max="14076" width="11.25" style="5" customWidth="1"/>
    <col min="14077" max="14077" width="13" style="5" customWidth="1"/>
    <col min="14078" max="14078" width="10.75" style="5" customWidth="1"/>
    <col min="14079" max="14079" width="14.625" style="5" customWidth="1"/>
    <col min="14080" max="14080" width="15.125" style="5" customWidth="1"/>
    <col min="14081" max="14081" width="11" style="5" customWidth="1"/>
    <col min="14082" max="14330" width="8.875" style="5"/>
    <col min="14331" max="14331" width="7.125" style="5" customWidth="1"/>
    <col min="14332" max="14332" width="11.25" style="5" customWidth="1"/>
    <col min="14333" max="14333" width="13" style="5" customWidth="1"/>
    <col min="14334" max="14334" width="10.75" style="5" customWidth="1"/>
    <col min="14335" max="14335" width="14.625" style="5" customWidth="1"/>
    <col min="14336" max="14336" width="15.125" style="5" customWidth="1"/>
    <col min="14337" max="14337" width="11" style="5" customWidth="1"/>
    <col min="14338" max="14586" width="8.875" style="5"/>
    <col min="14587" max="14587" width="7.125" style="5" customWidth="1"/>
    <col min="14588" max="14588" width="11.25" style="5" customWidth="1"/>
    <col min="14589" max="14589" width="13" style="5" customWidth="1"/>
    <col min="14590" max="14590" width="10.75" style="5" customWidth="1"/>
    <col min="14591" max="14591" width="14.625" style="5" customWidth="1"/>
    <col min="14592" max="14592" width="15.125" style="5" customWidth="1"/>
    <col min="14593" max="14593" width="11" style="5" customWidth="1"/>
    <col min="14594" max="14842" width="8.875" style="5"/>
    <col min="14843" max="14843" width="7.125" style="5" customWidth="1"/>
    <col min="14844" max="14844" width="11.25" style="5" customWidth="1"/>
    <col min="14845" max="14845" width="13" style="5" customWidth="1"/>
    <col min="14846" max="14846" width="10.75" style="5" customWidth="1"/>
    <col min="14847" max="14847" width="14.625" style="5" customWidth="1"/>
    <col min="14848" max="14848" width="15.125" style="5" customWidth="1"/>
    <col min="14849" max="14849" width="11" style="5" customWidth="1"/>
    <col min="14850" max="15098" width="8.875" style="5"/>
    <col min="15099" max="15099" width="7.125" style="5" customWidth="1"/>
    <col min="15100" max="15100" width="11.25" style="5" customWidth="1"/>
    <col min="15101" max="15101" width="13" style="5" customWidth="1"/>
    <col min="15102" max="15102" width="10.75" style="5" customWidth="1"/>
    <col min="15103" max="15103" width="14.625" style="5" customWidth="1"/>
    <col min="15104" max="15104" width="15.125" style="5" customWidth="1"/>
    <col min="15105" max="15105" width="11" style="5" customWidth="1"/>
    <col min="15106" max="15354" width="8.875" style="5"/>
    <col min="15355" max="15355" width="7.125" style="5" customWidth="1"/>
    <col min="15356" max="15356" width="11.25" style="5" customWidth="1"/>
    <col min="15357" max="15357" width="13" style="5" customWidth="1"/>
    <col min="15358" max="15358" width="10.75" style="5" customWidth="1"/>
    <col min="15359" max="15359" width="14.625" style="5" customWidth="1"/>
    <col min="15360" max="15360" width="15.125" style="5" customWidth="1"/>
    <col min="15361" max="15361" width="11" style="5" customWidth="1"/>
    <col min="15362" max="15610" width="8.875" style="5"/>
    <col min="15611" max="15611" width="7.125" style="5" customWidth="1"/>
    <col min="15612" max="15612" width="11.25" style="5" customWidth="1"/>
    <col min="15613" max="15613" width="13" style="5" customWidth="1"/>
    <col min="15614" max="15614" width="10.75" style="5" customWidth="1"/>
    <col min="15615" max="15615" width="14.625" style="5" customWidth="1"/>
    <col min="15616" max="15616" width="15.125" style="5" customWidth="1"/>
    <col min="15617" max="15617" width="11" style="5" customWidth="1"/>
    <col min="15618" max="15866" width="8.875" style="5"/>
    <col min="15867" max="15867" width="7.125" style="5" customWidth="1"/>
    <col min="15868" max="15868" width="11.25" style="5" customWidth="1"/>
    <col min="15869" max="15869" width="13" style="5" customWidth="1"/>
    <col min="15870" max="15870" width="10.75" style="5" customWidth="1"/>
    <col min="15871" max="15871" width="14.625" style="5" customWidth="1"/>
    <col min="15872" max="15872" width="15.125" style="5" customWidth="1"/>
    <col min="15873" max="15873" width="11" style="5" customWidth="1"/>
    <col min="15874" max="16122" width="8.875" style="5"/>
    <col min="16123" max="16123" width="7.125" style="5" customWidth="1"/>
    <col min="16124" max="16124" width="11.25" style="5" customWidth="1"/>
    <col min="16125" max="16125" width="13" style="5" customWidth="1"/>
    <col min="16126" max="16126" width="10.75" style="5" customWidth="1"/>
    <col min="16127" max="16127" width="14.625" style="5" customWidth="1"/>
    <col min="16128" max="16128" width="15.125" style="5" customWidth="1"/>
    <col min="16129" max="16129" width="11" style="5" customWidth="1"/>
    <col min="16130" max="16384" width="8.875" style="5"/>
  </cols>
  <sheetData>
    <row r="1" spans="1:16" ht="19.5">
      <c r="A1" s="1" t="s">
        <v>492</v>
      </c>
      <c r="B1" s="129"/>
      <c r="C1" s="304"/>
      <c r="D1" s="305"/>
      <c r="E1" s="129"/>
      <c r="F1" s="304"/>
      <c r="G1" s="305"/>
      <c r="I1"/>
      <c r="J1"/>
      <c r="K1"/>
      <c r="L1"/>
      <c r="M1"/>
      <c r="N1"/>
      <c r="O1"/>
      <c r="P1"/>
    </row>
    <row r="2" spans="1:16">
      <c r="I2"/>
      <c r="J2"/>
      <c r="K2"/>
      <c r="L2"/>
      <c r="M2"/>
      <c r="N2"/>
      <c r="O2"/>
      <c r="P2"/>
    </row>
    <row r="3" spans="1:16" s="122" customFormat="1" ht="18" customHeight="1">
      <c r="A3" s="132" t="s">
        <v>420</v>
      </c>
      <c r="B3" s="133"/>
      <c r="C3" s="134"/>
      <c r="D3" s="135"/>
      <c r="E3" s="133"/>
      <c r="F3" s="136"/>
      <c r="G3" s="137"/>
      <c r="I3"/>
      <c r="J3"/>
      <c r="K3"/>
      <c r="L3"/>
      <c r="M3"/>
      <c r="N3"/>
      <c r="O3"/>
      <c r="P3"/>
    </row>
    <row r="4" spans="1:16" ht="18" customHeight="1">
      <c r="A4" s="138" t="s">
        <v>461</v>
      </c>
      <c r="B4" s="68"/>
      <c r="C4" s="308"/>
      <c r="D4" s="309"/>
      <c r="E4" s="68"/>
      <c r="F4" s="310"/>
      <c r="G4" s="142"/>
      <c r="I4"/>
      <c r="J4"/>
      <c r="K4"/>
      <c r="L4"/>
      <c r="M4"/>
      <c r="N4"/>
      <c r="O4"/>
      <c r="P4"/>
    </row>
    <row r="5" spans="1:16" ht="18" customHeight="1">
      <c r="A5" s="77" t="s">
        <v>52</v>
      </c>
      <c r="B5" s="143" t="s">
        <v>53</v>
      </c>
      <c r="C5" s="144"/>
      <c r="D5" s="145"/>
      <c r="E5" s="146" t="s">
        <v>54</v>
      </c>
      <c r="F5" s="144"/>
      <c r="G5" s="145"/>
      <c r="I5"/>
      <c r="J5"/>
      <c r="K5"/>
      <c r="L5"/>
      <c r="M5"/>
      <c r="N5"/>
      <c r="O5"/>
      <c r="P5"/>
    </row>
    <row r="6" spans="1:16" ht="18" customHeight="1">
      <c r="A6" s="94"/>
      <c r="B6" s="30" t="s">
        <v>433</v>
      </c>
      <c r="C6" s="147" t="s">
        <v>434</v>
      </c>
      <c r="D6" s="311" t="s">
        <v>62</v>
      </c>
      <c r="E6" s="30" t="s">
        <v>433</v>
      </c>
      <c r="F6" s="147" t="s">
        <v>434</v>
      </c>
      <c r="G6" s="311" t="s">
        <v>62</v>
      </c>
      <c r="I6" s="487"/>
      <c r="J6" s="487"/>
      <c r="K6" s="487"/>
      <c r="L6" s="487"/>
    </row>
    <row r="7" spans="1:16" ht="18" customHeight="1">
      <c r="A7" s="31">
        <v>1</v>
      </c>
      <c r="B7" s="384">
        <v>102575</v>
      </c>
      <c r="C7" s="544">
        <v>77057</v>
      </c>
      <c r="D7" s="512">
        <f t="shared" ref="D7:D19" si="0">(B7-C7)/C7</f>
        <v>0.33115745487106946</v>
      </c>
      <c r="E7" s="384">
        <v>157168031</v>
      </c>
      <c r="F7" s="544">
        <v>109267734</v>
      </c>
      <c r="G7" s="512">
        <f t="shared" ref="G7:G19" si="1">(E7-F7)/F7</f>
        <v>0.43837549518506536</v>
      </c>
      <c r="I7" s="487"/>
      <c r="J7" s="487"/>
    </row>
    <row r="8" spans="1:16" ht="18" customHeight="1">
      <c r="A8" s="31">
        <v>2</v>
      </c>
      <c r="B8" s="384">
        <v>68335</v>
      </c>
      <c r="C8" s="544">
        <v>84202</v>
      </c>
      <c r="D8" s="512">
        <f t="shared" si="0"/>
        <v>-0.18843970452008266</v>
      </c>
      <c r="E8" s="384">
        <v>114935015</v>
      </c>
      <c r="F8" s="544">
        <v>117807310</v>
      </c>
      <c r="G8" s="512">
        <f t="shared" si="1"/>
        <v>-2.4381296882171402E-2</v>
      </c>
      <c r="I8" s="487"/>
      <c r="J8" s="487"/>
      <c r="K8" s="487"/>
      <c r="L8" s="487"/>
    </row>
    <row r="9" spans="1:16" ht="18" customHeight="1">
      <c r="A9" s="31">
        <v>3</v>
      </c>
      <c r="B9" s="384">
        <v>67324</v>
      </c>
      <c r="C9" s="545">
        <v>92178</v>
      </c>
      <c r="D9" s="512">
        <f t="shared" si="0"/>
        <v>-0.26963049751567619</v>
      </c>
      <c r="E9" s="377">
        <v>108657809</v>
      </c>
      <c r="F9" s="544">
        <v>132866407</v>
      </c>
      <c r="G9" s="512">
        <f t="shared" si="1"/>
        <v>-0.18220254876012415</v>
      </c>
      <c r="J9" s="487"/>
      <c r="K9" s="487"/>
    </row>
    <row r="10" spans="1:16" ht="18" customHeight="1">
      <c r="A10" s="31">
        <v>4</v>
      </c>
      <c r="B10" s="386">
        <v>78722</v>
      </c>
      <c r="C10" s="545">
        <v>79297</v>
      </c>
      <c r="D10" s="512">
        <f t="shared" si="0"/>
        <v>-7.2512200965988627E-3</v>
      </c>
      <c r="E10" s="386">
        <v>135497637</v>
      </c>
      <c r="F10" s="544">
        <v>114259116</v>
      </c>
      <c r="G10" s="512">
        <f t="shared" si="1"/>
        <v>0.18588031960618354</v>
      </c>
    </row>
    <row r="11" spans="1:16" ht="18" customHeight="1">
      <c r="A11" s="31">
        <v>5</v>
      </c>
      <c r="B11" s="384"/>
      <c r="C11" s="385"/>
      <c r="D11" s="512"/>
      <c r="E11" s="384"/>
      <c r="F11" s="385"/>
      <c r="G11" s="512"/>
    </row>
    <row r="12" spans="1:16" ht="18" customHeight="1">
      <c r="A12" s="31">
        <v>6</v>
      </c>
      <c r="B12" s="384"/>
      <c r="C12" s="385"/>
      <c r="D12" s="512"/>
      <c r="E12" s="384"/>
      <c r="F12" s="385"/>
      <c r="G12" s="512"/>
      <c r="J12" s="487"/>
      <c r="K12" s="487"/>
    </row>
    <row r="13" spans="1:16" ht="18" customHeight="1">
      <c r="A13" s="31">
        <v>7</v>
      </c>
      <c r="B13" s="387"/>
      <c r="C13" s="385"/>
      <c r="D13" s="512"/>
      <c r="E13" s="387"/>
      <c r="F13" s="385"/>
      <c r="G13" s="512"/>
    </row>
    <row r="14" spans="1:16" ht="18" customHeight="1">
      <c r="A14" s="31">
        <v>8</v>
      </c>
      <c r="B14" s="384"/>
      <c r="C14" s="385"/>
      <c r="D14" s="512"/>
      <c r="E14" s="384"/>
      <c r="F14" s="385"/>
      <c r="G14" s="512"/>
      <c r="J14" s="487"/>
      <c r="K14" s="487"/>
    </row>
    <row r="15" spans="1:16" ht="18" customHeight="1">
      <c r="A15" s="31">
        <v>9</v>
      </c>
      <c r="B15" s="27"/>
      <c r="C15" s="385"/>
      <c r="D15" s="512"/>
      <c r="E15" s="27"/>
      <c r="F15" s="385"/>
      <c r="G15" s="512"/>
    </row>
    <row r="16" spans="1:16" ht="18" customHeight="1">
      <c r="A16" s="31">
        <v>10</v>
      </c>
      <c r="B16" s="27"/>
      <c r="C16" s="385"/>
      <c r="D16" s="512"/>
      <c r="E16" s="27"/>
      <c r="F16" s="385"/>
      <c r="G16" s="512"/>
    </row>
    <row r="17" spans="1:18" ht="18" customHeight="1">
      <c r="A17" s="31">
        <v>11</v>
      </c>
      <c r="B17" s="27"/>
      <c r="C17" s="507"/>
      <c r="D17" s="512"/>
      <c r="E17" s="27"/>
      <c r="F17" s="508"/>
      <c r="G17" s="512"/>
    </row>
    <row r="18" spans="1:18" ht="18" customHeight="1">
      <c r="A18" s="31">
        <v>12</v>
      </c>
      <c r="B18" s="27"/>
      <c r="C18" s="507"/>
      <c r="D18" s="512"/>
      <c r="E18" s="27"/>
      <c r="F18" s="508"/>
      <c r="G18" s="512"/>
      <c r="I18" s="488"/>
      <c r="J18" s="488"/>
      <c r="K18" s="488"/>
      <c r="L18" s="488"/>
      <c r="M18"/>
      <c r="N18"/>
      <c r="O18"/>
      <c r="P18"/>
      <c r="Q18"/>
      <c r="R18"/>
    </row>
    <row r="19" spans="1:18" s="115" customFormat="1" ht="18" customHeight="1">
      <c r="A19" s="32" t="s">
        <v>51</v>
      </c>
      <c r="B19" s="33">
        <f>SUM(B7:B18)</f>
        <v>316956</v>
      </c>
      <c r="C19" s="312">
        <f>SUM(C7:C18)</f>
        <v>332734</v>
      </c>
      <c r="D19" s="512">
        <f t="shared" si="0"/>
        <v>-4.7419259829172854E-2</v>
      </c>
      <c r="E19" s="33">
        <f>SUM(E7:E18)</f>
        <v>516258492</v>
      </c>
      <c r="F19" s="312">
        <f>SUM(F7:F18)</f>
        <v>474200567</v>
      </c>
      <c r="G19" s="512">
        <f t="shared" si="1"/>
        <v>8.8692270585159383E-2</v>
      </c>
      <c r="H19" s="5"/>
      <c r="I19" s="488"/>
      <c r="J19" s="488"/>
      <c r="K19" s="488"/>
      <c r="L19" s="488"/>
      <c r="M19"/>
      <c r="N19"/>
      <c r="O19"/>
      <c r="P19"/>
      <c r="Q19"/>
      <c r="R19"/>
    </row>
    <row r="20" spans="1:18" s="115" customFormat="1">
      <c r="A20" s="38"/>
      <c r="B20" s="39"/>
      <c r="C20" s="489"/>
      <c r="D20" s="313"/>
      <c r="E20" s="39"/>
      <c r="F20" s="489"/>
      <c r="G20" s="313"/>
      <c r="H20" s="5"/>
      <c r="I20" s="488"/>
      <c r="J20" s="488"/>
      <c r="K20"/>
      <c r="L20"/>
      <c r="M20"/>
      <c r="N20"/>
      <c r="O20"/>
      <c r="P20"/>
      <c r="Q20"/>
      <c r="R20"/>
    </row>
    <row r="21" spans="1:18" s="115" customFormat="1">
      <c r="A21" s="38"/>
      <c r="B21" s="39"/>
      <c r="C21" s="489"/>
      <c r="D21" s="313"/>
      <c r="E21" s="39"/>
      <c r="F21" s="489"/>
      <c r="G21" s="313"/>
      <c r="H21" s="5"/>
      <c r="I21" s="488"/>
      <c r="J21" s="488"/>
      <c r="K21" s="488"/>
      <c r="L21" s="488"/>
      <c r="M21"/>
      <c r="N21"/>
      <c r="O21"/>
      <c r="P21"/>
      <c r="Q21"/>
      <c r="R21"/>
    </row>
    <row r="22" spans="1:18" ht="19.5">
      <c r="A22" s="1" t="s">
        <v>493</v>
      </c>
      <c r="B22" s="129"/>
      <c r="C22" s="304"/>
      <c r="D22" s="305"/>
      <c r="E22" s="129"/>
      <c r="F22" s="304"/>
      <c r="G22" s="305"/>
      <c r="I22"/>
      <c r="J22"/>
      <c r="K22"/>
      <c r="L22"/>
      <c r="M22"/>
      <c r="N22"/>
      <c r="O22"/>
      <c r="P22"/>
      <c r="Q22"/>
      <c r="R22"/>
    </row>
    <row r="23" spans="1:18" ht="17.25" customHeight="1">
      <c r="A23" s="1"/>
      <c r="B23" s="129"/>
      <c r="C23" s="304"/>
      <c r="D23" s="305"/>
      <c r="E23" s="129"/>
      <c r="F23" s="304"/>
      <c r="G23" s="305"/>
      <c r="I23"/>
      <c r="J23"/>
      <c r="K23"/>
      <c r="L23"/>
      <c r="M23"/>
      <c r="N23"/>
      <c r="O23"/>
      <c r="P23"/>
      <c r="Q23"/>
      <c r="R23"/>
    </row>
    <row r="24" spans="1:18" s="122" customFormat="1" ht="18" customHeight="1">
      <c r="A24" s="153" t="s">
        <v>416</v>
      </c>
      <c r="B24" s="154"/>
      <c r="C24" s="155"/>
      <c r="D24" s="156"/>
      <c r="E24" s="154"/>
      <c r="F24" s="157"/>
      <c r="G24" s="158"/>
      <c r="I24"/>
      <c r="J24"/>
      <c r="K24"/>
      <c r="L24"/>
      <c r="M24"/>
      <c r="N24"/>
      <c r="O24"/>
      <c r="P24"/>
      <c r="Q24"/>
      <c r="R24"/>
    </row>
    <row r="25" spans="1:18" ht="18" customHeight="1">
      <c r="A25" s="138" t="s">
        <v>457</v>
      </c>
      <c r="B25" s="159"/>
      <c r="C25" s="314"/>
      <c r="D25" s="315"/>
      <c r="E25" s="159"/>
      <c r="F25" s="316"/>
      <c r="G25" s="163"/>
      <c r="I25"/>
      <c r="J25"/>
      <c r="K25"/>
      <c r="L25"/>
      <c r="M25"/>
      <c r="N25"/>
      <c r="O25"/>
      <c r="P25"/>
      <c r="Q25"/>
      <c r="R25"/>
    </row>
    <row r="26" spans="1:18" ht="18" customHeight="1">
      <c r="A26" s="77" t="s">
        <v>52</v>
      </c>
      <c r="B26" s="164" t="s">
        <v>53</v>
      </c>
      <c r="C26" s="165"/>
      <c r="D26" s="166"/>
      <c r="E26" s="167" t="s">
        <v>54</v>
      </c>
      <c r="F26" s="165"/>
      <c r="G26" s="166"/>
    </row>
    <row r="27" spans="1:18" ht="18" customHeight="1">
      <c r="A27" s="94"/>
      <c r="B27" s="30" t="s">
        <v>433</v>
      </c>
      <c r="C27" s="147" t="s">
        <v>434</v>
      </c>
      <c r="D27" s="311" t="s">
        <v>410</v>
      </c>
      <c r="E27" s="30" t="s">
        <v>433</v>
      </c>
      <c r="F27" s="147" t="s">
        <v>434</v>
      </c>
      <c r="G27" s="311" t="s">
        <v>411</v>
      </c>
    </row>
    <row r="28" spans="1:18" ht="18" customHeight="1">
      <c r="A28" s="31">
        <v>1</v>
      </c>
      <c r="B28" s="384">
        <v>661</v>
      </c>
      <c r="C28" s="544">
        <v>1361</v>
      </c>
      <c r="D28" s="512">
        <f>(B28-C28)/C28</f>
        <v>-0.51432770022042618</v>
      </c>
      <c r="E28" s="384">
        <v>457222</v>
      </c>
      <c r="F28" s="544">
        <v>889149</v>
      </c>
      <c r="G28" s="512">
        <f>(E28-F28)/F28</f>
        <v>-0.48577572487850745</v>
      </c>
    </row>
    <row r="29" spans="1:18" ht="18" customHeight="1">
      <c r="A29" s="31">
        <v>2</v>
      </c>
      <c r="B29" s="384">
        <v>306</v>
      </c>
      <c r="C29" s="544">
        <v>1529</v>
      </c>
      <c r="D29" s="512">
        <f>(B29-C29)/C29</f>
        <v>-0.79986919555264879</v>
      </c>
      <c r="E29" s="384">
        <v>343954</v>
      </c>
      <c r="F29" s="544">
        <v>1057175</v>
      </c>
      <c r="G29" s="512">
        <f>(E29-F29)/F29</f>
        <v>-0.67464800056755037</v>
      </c>
      <c r="I29"/>
      <c r="J29"/>
      <c r="K29"/>
      <c r="L29"/>
      <c r="M29"/>
      <c r="N29"/>
      <c r="O29"/>
      <c r="P29"/>
    </row>
    <row r="30" spans="1:18" ht="18" customHeight="1">
      <c r="A30" s="31">
        <v>3</v>
      </c>
      <c r="B30" s="384">
        <v>1748</v>
      </c>
      <c r="C30" s="544">
        <v>2239</v>
      </c>
      <c r="D30" s="512">
        <f>(B30-C30)/C30</f>
        <v>-0.21929432782492184</v>
      </c>
      <c r="E30" s="384">
        <v>1134184</v>
      </c>
      <c r="F30" s="544">
        <v>1443327</v>
      </c>
      <c r="G30" s="512">
        <f>(E30-F30)/F30</f>
        <v>-0.21418777588169555</v>
      </c>
      <c r="I30"/>
      <c r="J30"/>
      <c r="K30"/>
      <c r="L30"/>
      <c r="M30"/>
      <c r="N30"/>
      <c r="O30"/>
      <c r="P30"/>
    </row>
    <row r="31" spans="1:18" ht="18" customHeight="1">
      <c r="A31" s="31">
        <v>4</v>
      </c>
      <c r="B31" s="384">
        <v>413</v>
      </c>
      <c r="C31" s="544">
        <v>161</v>
      </c>
      <c r="D31" s="512">
        <f>(B31-C31)/C31</f>
        <v>1.5652173913043479</v>
      </c>
      <c r="E31" s="386">
        <v>387680</v>
      </c>
      <c r="F31" s="544">
        <v>188582</v>
      </c>
      <c r="G31" s="512">
        <f>(E31-F31)/F31</f>
        <v>1.0557635405287886</v>
      </c>
      <c r="I31"/>
      <c r="J31"/>
      <c r="K31"/>
      <c r="L31"/>
      <c r="M31"/>
      <c r="N31"/>
      <c r="O31"/>
      <c r="P31"/>
    </row>
    <row r="32" spans="1:18" ht="18" customHeight="1">
      <c r="A32" s="31">
        <v>5</v>
      </c>
      <c r="B32" s="384"/>
      <c r="C32" s="506"/>
      <c r="D32" s="512"/>
      <c r="E32" s="384"/>
      <c r="F32" s="506"/>
      <c r="G32" s="512"/>
      <c r="I32"/>
      <c r="J32"/>
      <c r="K32"/>
      <c r="L32"/>
      <c r="M32"/>
      <c r="N32"/>
      <c r="O32"/>
      <c r="P32"/>
    </row>
    <row r="33" spans="1:16" ht="18" customHeight="1">
      <c r="A33" s="31">
        <v>6</v>
      </c>
      <c r="B33" s="384"/>
      <c r="C33" s="506"/>
      <c r="D33" s="512"/>
      <c r="E33" s="384"/>
      <c r="F33" s="506"/>
      <c r="G33" s="512"/>
      <c r="I33"/>
      <c r="J33"/>
      <c r="K33"/>
      <c r="L33"/>
      <c r="M33"/>
      <c r="N33"/>
      <c r="O33"/>
      <c r="P33"/>
    </row>
    <row r="34" spans="1:16" ht="18" customHeight="1">
      <c r="A34" s="31">
        <v>7</v>
      </c>
      <c r="B34" s="384"/>
      <c r="C34" s="506"/>
      <c r="D34" s="512"/>
      <c r="E34" s="384"/>
      <c r="F34" s="506"/>
      <c r="G34" s="512"/>
      <c r="I34"/>
      <c r="J34"/>
      <c r="K34"/>
      <c r="L34"/>
      <c r="M34"/>
      <c r="N34"/>
      <c r="O34"/>
      <c r="P34"/>
    </row>
    <row r="35" spans="1:16" ht="18" customHeight="1">
      <c r="A35" s="31">
        <v>8</v>
      </c>
      <c r="B35" s="384"/>
      <c r="C35" s="506"/>
      <c r="D35" s="512"/>
      <c r="E35" s="384"/>
      <c r="F35" s="506"/>
      <c r="G35" s="512"/>
      <c r="I35"/>
      <c r="J35"/>
      <c r="K35"/>
      <c r="L35"/>
      <c r="M35"/>
      <c r="N35"/>
      <c r="O35"/>
      <c r="P35"/>
    </row>
    <row r="36" spans="1:16" ht="18" customHeight="1">
      <c r="A36" s="31">
        <v>9</v>
      </c>
      <c r="B36" s="27"/>
      <c r="C36" s="506"/>
      <c r="D36" s="512"/>
      <c r="E36" s="27"/>
      <c r="F36" s="506"/>
      <c r="G36" s="512"/>
      <c r="I36"/>
      <c r="J36"/>
      <c r="K36"/>
      <c r="L36"/>
      <c r="M36"/>
      <c r="N36"/>
      <c r="O36"/>
      <c r="P36"/>
    </row>
    <row r="37" spans="1:16" ht="18" customHeight="1">
      <c r="A37" s="31">
        <v>10</v>
      </c>
      <c r="B37" s="27"/>
      <c r="C37" s="506"/>
      <c r="D37" s="512"/>
      <c r="E37" s="27"/>
      <c r="F37" s="506"/>
      <c r="G37" s="512"/>
      <c r="I37"/>
      <c r="J37"/>
      <c r="K37"/>
      <c r="L37"/>
      <c r="M37"/>
      <c r="N37"/>
      <c r="O37"/>
      <c r="P37"/>
    </row>
    <row r="38" spans="1:16" ht="18" customHeight="1">
      <c r="A38" s="31">
        <v>11</v>
      </c>
      <c r="B38" s="27"/>
      <c r="C38" s="90"/>
      <c r="D38" s="512"/>
      <c r="E38" s="27"/>
      <c r="F38" s="90"/>
      <c r="G38" s="512"/>
      <c r="I38"/>
      <c r="J38"/>
      <c r="K38"/>
      <c r="L38"/>
      <c r="M38"/>
      <c r="N38"/>
      <c r="O38"/>
      <c r="P38"/>
    </row>
    <row r="39" spans="1:16" ht="18" customHeight="1">
      <c r="A39" s="31">
        <v>12</v>
      </c>
      <c r="B39" s="27"/>
      <c r="C39" s="90"/>
      <c r="D39" s="512"/>
      <c r="E39" s="27"/>
      <c r="F39" s="90"/>
      <c r="G39" s="512"/>
      <c r="I39" s="488"/>
      <c r="J39" s="488"/>
      <c r="K39"/>
      <c r="L39"/>
      <c r="M39"/>
      <c r="N39"/>
      <c r="O39"/>
      <c r="P39"/>
    </row>
    <row r="40" spans="1:16" s="115" customFormat="1" ht="18" customHeight="1">
      <c r="A40" s="32" t="s">
        <v>51</v>
      </c>
      <c r="B40" s="33">
        <f>SUM(B28:B39)</f>
        <v>3128</v>
      </c>
      <c r="C40" s="91">
        <f>SUM(C28:C39)</f>
        <v>5290</v>
      </c>
      <c r="D40" s="512">
        <f t="shared" ref="D40" si="2">(B40-C40)/C40</f>
        <v>-0.40869565217391307</v>
      </c>
      <c r="E40" s="33">
        <f>SUM(E28:E39)</f>
        <v>2323040</v>
      </c>
      <c r="F40" s="91">
        <f>SUM(F28:F39)</f>
        <v>3578233</v>
      </c>
      <c r="G40" s="512">
        <f t="shared" ref="G40" si="3">(E40-F40)/F40</f>
        <v>-0.35078570903571676</v>
      </c>
      <c r="H40" s="5"/>
      <c r="I40"/>
      <c r="J40"/>
      <c r="K40"/>
      <c r="L40"/>
      <c r="M40"/>
      <c r="N40"/>
      <c r="O40"/>
      <c r="P40"/>
    </row>
    <row r="41" spans="1:16" s="115" customFormat="1">
      <c r="A41" s="38"/>
      <c r="B41" s="39"/>
      <c r="C41" s="489"/>
      <c r="D41" s="313"/>
      <c r="E41" s="39"/>
      <c r="F41" s="489"/>
      <c r="G41" s="313"/>
      <c r="H41" s="5"/>
      <c r="I41" s="488"/>
      <c r="J41" s="488"/>
      <c r="K41" s="488"/>
      <c r="L41" s="488"/>
      <c r="M41"/>
      <c r="N41"/>
      <c r="O41"/>
      <c r="P41"/>
    </row>
    <row r="42" spans="1:16" s="13" customFormat="1">
      <c r="A42" s="54" t="s">
        <v>412</v>
      </c>
      <c r="C42" s="169"/>
      <c r="D42" s="170"/>
      <c r="F42" s="169"/>
      <c r="G42" s="170"/>
      <c r="H42" s="5"/>
      <c r="I42"/>
      <c r="J42"/>
      <c r="K42"/>
      <c r="L42"/>
      <c r="M42"/>
      <c r="N42"/>
      <c r="O42"/>
      <c r="P42"/>
    </row>
    <row r="43" spans="1:16">
      <c r="I43"/>
      <c r="J43"/>
      <c r="K43"/>
      <c r="L43"/>
      <c r="M43"/>
      <c r="N43"/>
      <c r="O43"/>
      <c r="P43"/>
    </row>
    <row r="44" spans="1:16">
      <c r="I44"/>
      <c r="J44"/>
      <c r="K44"/>
      <c r="L44"/>
      <c r="M44"/>
      <c r="N44"/>
      <c r="O44"/>
      <c r="P44"/>
    </row>
  </sheetData>
  <phoneticPr fontId="3" type="noConversion"/>
  <conditionalFormatting sqref="B7:C8 B9 E9 B11:C14">
    <cfRule type="cellIs" dxfId="46" priority="34" operator="lessThan">
      <formula>0</formula>
    </cfRule>
  </conditionalFormatting>
  <conditionalFormatting sqref="B28:C35">
    <cfRule type="cellIs" dxfId="45" priority="3" operator="lessThan">
      <formula>0</formula>
    </cfRule>
  </conditionalFormatting>
  <conditionalFormatting sqref="C15:C16">
    <cfRule type="cellIs" dxfId="44" priority="30" operator="lessThan">
      <formula>0</formula>
    </cfRule>
  </conditionalFormatting>
  <conditionalFormatting sqref="C36:C37">
    <cfRule type="cellIs" dxfId="43" priority="32" operator="lessThan">
      <formula>0</formula>
    </cfRule>
  </conditionalFormatting>
  <conditionalFormatting sqref="D7:D19">
    <cfRule type="cellIs" dxfId="42" priority="27" operator="greaterThanOrEqual">
      <formula>0</formula>
    </cfRule>
    <cfRule type="cellIs" dxfId="41" priority="28" operator="lessThan">
      <formula>0</formula>
    </cfRule>
  </conditionalFormatting>
  <conditionalFormatting sqref="D28:D40">
    <cfRule type="cellIs" dxfId="40" priority="19" operator="greaterThanOrEqual">
      <formula>0</formula>
    </cfRule>
    <cfRule type="cellIs" dxfId="39" priority="20" operator="lessThan">
      <formula>0</formula>
    </cfRule>
  </conditionalFormatting>
  <conditionalFormatting sqref="E28:E30 E32:F35 F36:F37">
    <cfRule type="cellIs" dxfId="38" priority="31" operator="lessThan">
      <formula>0</formula>
    </cfRule>
  </conditionalFormatting>
  <conditionalFormatting sqref="E7:F9 E11:F14">
    <cfRule type="cellIs" dxfId="37" priority="33" operator="lessThan">
      <formula>0</formula>
    </cfRule>
  </conditionalFormatting>
  <conditionalFormatting sqref="F10">
    <cfRule type="cellIs" dxfId="36" priority="1" operator="lessThan">
      <formula>0</formula>
    </cfRule>
  </conditionalFormatting>
  <conditionalFormatting sqref="F15:F16">
    <cfRule type="cellIs" dxfId="35" priority="29" operator="lessThan">
      <formula>0</formula>
    </cfRule>
  </conditionalFormatting>
  <conditionalFormatting sqref="F28:F31">
    <cfRule type="cellIs" dxfId="34" priority="2" operator="lessThan">
      <formula>0</formula>
    </cfRule>
  </conditionalFormatting>
  <conditionalFormatting sqref="G7:G19">
    <cfRule type="cellIs" dxfId="33" priority="25" operator="greaterThanOrEqual">
      <formula>0</formula>
    </cfRule>
    <cfRule type="cellIs" dxfId="32" priority="26" operator="lessThan">
      <formula>0</formula>
    </cfRule>
  </conditionalFormatting>
  <conditionalFormatting sqref="G28:G40">
    <cfRule type="cellIs" dxfId="31" priority="15" operator="greaterThanOrEqual">
      <formula>0</formula>
    </cfRule>
    <cfRule type="cellIs" dxfId="30" priority="16" operator="lessThan">
      <formula>0</formula>
    </cfRule>
  </conditionalFormatting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M67"/>
  <sheetViews>
    <sheetView zoomScaleNormal="100" workbookViewId="0">
      <selection activeCell="A2" sqref="A2"/>
    </sheetView>
  </sheetViews>
  <sheetFormatPr defaultColWidth="10" defaultRowHeight="16.5"/>
  <cols>
    <col min="1" max="1" width="21.375" style="13" customWidth="1"/>
    <col min="2" max="2" width="1.5" style="13" customWidth="1"/>
    <col min="3" max="3" width="15.625" style="321" customWidth="1"/>
    <col min="4" max="4" width="16.625" style="321" customWidth="1"/>
    <col min="5" max="5" width="2.375" style="321" customWidth="1"/>
    <col min="6" max="6" width="17.125" style="321" customWidth="1"/>
    <col min="7" max="7" width="19" style="321" customWidth="1"/>
    <col min="8" max="8" width="2.125" style="321" customWidth="1"/>
    <col min="9" max="9" width="15.625" style="321" customWidth="1"/>
    <col min="10" max="10" width="17.875" style="321" customWidth="1"/>
    <col min="11" max="11" width="2.5" style="321" customWidth="1"/>
    <col min="12" max="12" width="17.125" style="321" customWidth="1"/>
    <col min="13" max="13" width="18.5" style="321" customWidth="1"/>
    <col min="14" max="256" width="10" style="13"/>
    <col min="257" max="257" width="19.5" style="13" customWidth="1"/>
    <col min="258" max="258" width="1.5" style="13" customWidth="1"/>
    <col min="259" max="260" width="15.625" style="13" customWidth="1"/>
    <col min="261" max="261" width="2.375" style="13" customWidth="1"/>
    <col min="262" max="262" width="17.125" style="13" customWidth="1"/>
    <col min="263" max="263" width="17.875" style="13" customWidth="1"/>
    <col min="264" max="264" width="2.125" style="13" customWidth="1"/>
    <col min="265" max="266" width="15.625" style="13" customWidth="1"/>
    <col min="267" max="267" width="2.5" style="13" customWidth="1"/>
    <col min="268" max="268" width="17.125" style="13" customWidth="1"/>
    <col min="269" max="269" width="18.5" style="13" customWidth="1"/>
    <col min="270" max="512" width="10" style="13"/>
    <col min="513" max="513" width="19.5" style="13" customWidth="1"/>
    <col min="514" max="514" width="1.5" style="13" customWidth="1"/>
    <col min="515" max="516" width="15.625" style="13" customWidth="1"/>
    <col min="517" max="517" width="2.375" style="13" customWidth="1"/>
    <col min="518" max="518" width="17.125" style="13" customWidth="1"/>
    <col min="519" max="519" width="17.875" style="13" customWidth="1"/>
    <col min="520" max="520" width="2.125" style="13" customWidth="1"/>
    <col min="521" max="522" width="15.625" style="13" customWidth="1"/>
    <col min="523" max="523" width="2.5" style="13" customWidth="1"/>
    <col min="524" max="524" width="17.125" style="13" customWidth="1"/>
    <col min="525" max="525" width="18.5" style="13" customWidth="1"/>
    <col min="526" max="768" width="10" style="13"/>
    <col min="769" max="769" width="19.5" style="13" customWidth="1"/>
    <col min="770" max="770" width="1.5" style="13" customWidth="1"/>
    <col min="771" max="772" width="15.625" style="13" customWidth="1"/>
    <col min="773" max="773" width="2.375" style="13" customWidth="1"/>
    <col min="774" max="774" width="17.125" style="13" customWidth="1"/>
    <col min="775" max="775" width="17.875" style="13" customWidth="1"/>
    <col min="776" max="776" width="2.125" style="13" customWidth="1"/>
    <col min="777" max="778" width="15.625" style="13" customWidth="1"/>
    <col min="779" max="779" width="2.5" style="13" customWidth="1"/>
    <col min="780" max="780" width="17.125" style="13" customWidth="1"/>
    <col min="781" max="781" width="18.5" style="13" customWidth="1"/>
    <col min="782" max="1024" width="10" style="13"/>
    <col min="1025" max="1025" width="19.5" style="13" customWidth="1"/>
    <col min="1026" max="1026" width="1.5" style="13" customWidth="1"/>
    <col min="1027" max="1028" width="15.625" style="13" customWidth="1"/>
    <col min="1029" max="1029" width="2.375" style="13" customWidth="1"/>
    <col min="1030" max="1030" width="17.125" style="13" customWidth="1"/>
    <col min="1031" max="1031" width="17.875" style="13" customWidth="1"/>
    <col min="1032" max="1032" width="2.125" style="13" customWidth="1"/>
    <col min="1033" max="1034" width="15.625" style="13" customWidth="1"/>
    <col min="1035" max="1035" width="2.5" style="13" customWidth="1"/>
    <col min="1036" max="1036" width="17.125" style="13" customWidth="1"/>
    <col min="1037" max="1037" width="18.5" style="13" customWidth="1"/>
    <col min="1038" max="1280" width="10" style="13"/>
    <col min="1281" max="1281" width="19.5" style="13" customWidth="1"/>
    <col min="1282" max="1282" width="1.5" style="13" customWidth="1"/>
    <col min="1283" max="1284" width="15.625" style="13" customWidth="1"/>
    <col min="1285" max="1285" width="2.375" style="13" customWidth="1"/>
    <col min="1286" max="1286" width="17.125" style="13" customWidth="1"/>
    <col min="1287" max="1287" width="17.875" style="13" customWidth="1"/>
    <col min="1288" max="1288" width="2.125" style="13" customWidth="1"/>
    <col min="1289" max="1290" width="15.625" style="13" customWidth="1"/>
    <col min="1291" max="1291" width="2.5" style="13" customWidth="1"/>
    <col min="1292" max="1292" width="17.125" style="13" customWidth="1"/>
    <col min="1293" max="1293" width="18.5" style="13" customWidth="1"/>
    <col min="1294" max="1536" width="10" style="13"/>
    <col min="1537" max="1537" width="19.5" style="13" customWidth="1"/>
    <col min="1538" max="1538" width="1.5" style="13" customWidth="1"/>
    <col min="1539" max="1540" width="15.625" style="13" customWidth="1"/>
    <col min="1541" max="1541" width="2.375" style="13" customWidth="1"/>
    <col min="1542" max="1542" width="17.125" style="13" customWidth="1"/>
    <col min="1543" max="1543" width="17.875" style="13" customWidth="1"/>
    <col min="1544" max="1544" width="2.125" style="13" customWidth="1"/>
    <col min="1545" max="1546" width="15.625" style="13" customWidth="1"/>
    <col min="1547" max="1547" width="2.5" style="13" customWidth="1"/>
    <col min="1548" max="1548" width="17.125" style="13" customWidth="1"/>
    <col min="1549" max="1549" width="18.5" style="13" customWidth="1"/>
    <col min="1550" max="1792" width="10" style="13"/>
    <col min="1793" max="1793" width="19.5" style="13" customWidth="1"/>
    <col min="1794" max="1794" width="1.5" style="13" customWidth="1"/>
    <col min="1795" max="1796" width="15.625" style="13" customWidth="1"/>
    <col min="1797" max="1797" width="2.375" style="13" customWidth="1"/>
    <col min="1798" max="1798" width="17.125" style="13" customWidth="1"/>
    <col min="1799" max="1799" width="17.875" style="13" customWidth="1"/>
    <col min="1800" max="1800" width="2.125" style="13" customWidth="1"/>
    <col min="1801" max="1802" width="15.625" style="13" customWidth="1"/>
    <col min="1803" max="1803" width="2.5" style="13" customWidth="1"/>
    <col min="1804" max="1804" width="17.125" style="13" customWidth="1"/>
    <col min="1805" max="1805" width="18.5" style="13" customWidth="1"/>
    <col min="1806" max="2048" width="10" style="13"/>
    <col min="2049" max="2049" width="19.5" style="13" customWidth="1"/>
    <col min="2050" max="2050" width="1.5" style="13" customWidth="1"/>
    <col min="2051" max="2052" width="15.625" style="13" customWidth="1"/>
    <col min="2053" max="2053" width="2.375" style="13" customWidth="1"/>
    <col min="2054" max="2054" width="17.125" style="13" customWidth="1"/>
    <col min="2055" max="2055" width="17.875" style="13" customWidth="1"/>
    <col min="2056" max="2056" width="2.125" style="13" customWidth="1"/>
    <col min="2057" max="2058" width="15.625" style="13" customWidth="1"/>
    <col min="2059" max="2059" width="2.5" style="13" customWidth="1"/>
    <col min="2060" max="2060" width="17.125" style="13" customWidth="1"/>
    <col min="2061" max="2061" width="18.5" style="13" customWidth="1"/>
    <col min="2062" max="2304" width="10" style="13"/>
    <col min="2305" max="2305" width="19.5" style="13" customWidth="1"/>
    <col min="2306" max="2306" width="1.5" style="13" customWidth="1"/>
    <col min="2307" max="2308" width="15.625" style="13" customWidth="1"/>
    <col min="2309" max="2309" width="2.375" style="13" customWidth="1"/>
    <col min="2310" max="2310" width="17.125" style="13" customWidth="1"/>
    <col min="2311" max="2311" width="17.875" style="13" customWidth="1"/>
    <col min="2312" max="2312" width="2.125" style="13" customWidth="1"/>
    <col min="2313" max="2314" width="15.625" style="13" customWidth="1"/>
    <col min="2315" max="2315" width="2.5" style="13" customWidth="1"/>
    <col min="2316" max="2316" width="17.125" style="13" customWidth="1"/>
    <col min="2317" max="2317" width="18.5" style="13" customWidth="1"/>
    <col min="2318" max="2560" width="10" style="13"/>
    <col min="2561" max="2561" width="19.5" style="13" customWidth="1"/>
    <col min="2562" max="2562" width="1.5" style="13" customWidth="1"/>
    <col min="2563" max="2564" width="15.625" style="13" customWidth="1"/>
    <col min="2565" max="2565" width="2.375" style="13" customWidth="1"/>
    <col min="2566" max="2566" width="17.125" style="13" customWidth="1"/>
    <col min="2567" max="2567" width="17.875" style="13" customWidth="1"/>
    <col min="2568" max="2568" width="2.125" style="13" customWidth="1"/>
    <col min="2569" max="2570" width="15.625" style="13" customWidth="1"/>
    <col min="2571" max="2571" width="2.5" style="13" customWidth="1"/>
    <col min="2572" max="2572" width="17.125" style="13" customWidth="1"/>
    <col min="2573" max="2573" width="18.5" style="13" customWidth="1"/>
    <col min="2574" max="2816" width="10" style="13"/>
    <col min="2817" max="2817" width="19.5" style="13" customWidth="1"/>
    <col min="2818" max="2818" width="1.5" style="13" customWidth="1"/>
    <col min="2819" max="2820" width="15.625" style="13" customWidth="1"/>
    <col min="2821" max="2821" width="2.375" style="13" customWidth="1"/>
    <col min="2822" max="2822" width="17.125" style="13" customWidth="1"/>
    <col min="2823" max="2823" width="17.875" style="13" customWidth="1"/>
    <col min="2824" max="2824" width="2.125" style="13" customWidth="1"/>
    <col min="2825" max="2826" width="15.625" style="13" customWidth="1"/>
    <col min="2827" max="2827" width="2.5" style="13" customWidth="1"/>
    <col min="2828" max="2828" width="17.125" style="13" customWidth="1"/>
    <col min="2829" max="2829" width="18.5" style="13" customWidth="1"/>
    <col min="2830" max="3072" width="10" style="13"/>
    <col min="3073" max="3073" width="19.5" style="13" customWidth="1"/>
    <col min="3074" max="3074" width="1.5" style="13" customWidth="1"/>
    <col min="3075" max="3076" width="15.625" style="13" customWidth="1"/>
    <col min="3077" max="3077" width="2.375" style="13" customWidth="1"/>
    <col min="3078" max="3078" width="17.125" style="13" customWidth="1"/>
    <col min="3079" max="3079" width="17.875" style="13" customWidth="1"/>
    <col min="3080" max="3080" width="2.125" style="13" customWidth="1"/>
    <col min="3081" max="3082" width="15.625" style="13" customWidth="1"/>
    <col min="3083" max="3083" width="2.5" style="13" customWidth="1"/>
    <col min="3084" max="3084" width="17.125" style="13" customWidth="1"/>
    <col min="3085" max="3085" width="18.5" style="13" customWidth="1"/>
    <col min="3086" max="3328" width="10" style="13"/>
    <col min="3329" max="3329" width="19.5" style="13" customWidth="1"/>
    <col min="3330" max="3330" width="1.5" style="13" customWidth="1"/>
    <col min="3331" max="3332" width="15.625" style="13" customWidth="1"/>
    <col min="3333" max="3333" width="2.375" style="13" customWidth="1"/>
    <col min="3334" max="3334" width="17.125" style="13" customWidth="1"/>
    <col min="3335" max="3335" width="17.875" style="13" customWidth="1"/>
    <col min="3336" max="3336" width="2.125" style="13" customWidth="1"/>
    <col min="3337" max="3338" width="15.625" style="13" customWidth="1"/>
    <col min="3339" max="3339" width="2.5" style="13" customWidth="1"/>
    <col min="3340" max="3340" width="17.125" style="13" customWidth="1"/>
    <col min="3341" max="3341" width="18.5" style="13" customWidth="1"/>
    <col min="3342" max="3584" width="10" style="13"/>
    <col min="3585" max="3585" width="19.5" style="13" customWidth="1"/>
    <col min="3586" max="3586" width="1.5" style="13" customWidth="1"/>
    <col min="3587" max="3588" width="15.625" style="13" customWidth="1"/>
    <col min="3589" max="3589" width="2.375" style="13" customWidth="1"/>
    <col min="3590" max="3590" width="17.125" style="13" customWidth="1"/>
    <col min="3591" max="3591" width="17.875" style="13" customWidth="1"/>
    <col min="3592" max="3592" width="2.125" style="13" customWidth="1"/>
    <col min="3593" max="3594" width="15.625" style="13" customWidth="1"/>
    <col min="3595" max="3595" width="2.5" style="13" customWidth="1"/>
    <col min="3596" max="3596" width="17.125" style="13" customWidth="1"/>
    <col min="3597" max="3597" width="18.5" style="13" customWidth="1"/>
    <col min="3598" max="3840" width="10" style="13"/>
    <col min="3841" max="3841" width="19.5" style="13" customWidth="1"/>
    <col min="3842" max="3842" width="1.5" style="13" customWidth="1"/>
    <col min="3843" max="3844" width="15.625" style="13" customWidth="1"/>
    <col min="3845" max="3845" width="2.375" style="13" customWidth="1"/>
    <col min="3846" max="3846" width="17.125" style="13" customWidth="1"/>
    <col min="3847" max="3847" width="17.875" style="13" customWidth="1"/>
    <col min="3848" max="3848" width="2.125" style="13" customWidth="1"/>
    <col min="3849" max="3850" width="15.625" style="13" customWidth="1"/>
    <col min="3851" max="3851" width="2.5" style="13" customWidth="1"/>
    <col min="3852" max="3852" width="17.125" style="13" customWidth="1"/>
    <col min="3853" max="3853" width="18.5" style="13" customWidth="1"/>
    <col min="3854" max="4096" width="10" style="13"/>
    <col min="4097" max="4097" width="19.5" style="13" customWidth="1"/>
    <col min="4098" max="4098" width="1.5" style="13" customWidth="1"/>
    <col min="4099" max="4100" width="15.625" style="13" customWidth="1"/>
    <col min="4101" max="4101" width="2.375" style="13" customWidth="1"/>
    <col min="4102" max="4102" width="17.125" style="13" customWidth="1"/>
    <col min="4103" max="4103" width="17.875" style="13" customWidth="1"/>
    <col min="4104" max="4104" width="2.125" style="13" customWidth="1"/>
    <col min="4105" max="4106" width="15.625" style="13" customWidth="1"/>
    <col min="4107" max="4107" width="2.5" style="13" customWidth="1"/>
    <col min="4108" max="4108" width="17.125" style="13" customWidth="1"/>
    <col min="4109" max="4109" width="18.5" style="13" customWidth="1"/>
    <col min="4110" max="4352" width="10" style="13"/>
    <col min="4353" max="4353" width="19.5" style="13" customWidth="1"/>
    <col min="4354" max="4354" width="1.5" style="13" customWidth="1"/>
    <col min="4355" max="4356" width="15.625" style="13" customWidth="1"/>
    <col min="4357" max="4357" width="2.375" style="13" customWidth="1"/>
    <col min="4358" max="4358" width="17.125" style="13" customWidth="1"/>
    <col min="4359" max="4359" width="17.875" style="13" customWidth="1"/>
    <col min="4360" max="4360" width="2.125" style="13" customWidth="1"/>
    <col min="4361" max="4362" width="15.625" style="13" customWidth="1"/>
    <col min="4363" max="4363" width="2.5" style="13" customWidth="1"/>
    <col min="4364" max="4364" width="17.125" style="13" customWidth="1"/>
    <col min="4365" max="4365" width="18.5" style="13" customWidth="1"/>
    <col min="4366" max="4608" width="10" style="13"/>
    <col min="4609" max="4609" width="19.5" style="13" customWidth="1"/>
    <col min="4610" max="4610" width="1.5" style="13" customWidth="1"/>
    <col min="4611" max="4612" width="15.625" style="13" customWidth="1"/>
    <col min="4613" max="4613" width="2.375" style="13" customWidth="1"/>
    <col min="4614" max="4614" width="17.125" style="13" customWidth="1"/>
    <col min="4615" max="4615" width="17.875" style="13" customWidth="1"/>
    <col min="4616" max="4616" width="2.125" style="13" customWidth="1"/>
    <col min="4617" max="4618" width="15.625" style="13" customWidth="1"/>
    <col min="4619" max="4619" width="2.5" style="13" customWidth="1"/>
    <col min="4620" max="4620" width="17.125" style="13" customWidth="1"/>
    <col min="4621" max="4621" width="18.5" style="13" customWidth="1"/>
    <col min="4622" max="4864" width="10" style="13"/>
    <col min="4865" max="4865" width="19.5" style="13" customWidth="1"/>
    <col min="4866" max="4866" width="1.5" style="13" customWidth="1"/>
    <col min="4867" max="4868" width="15.625" style="13" customWidth="1"/>
    <col min="4869" max="4869" width="2.375" style="13" customWidth="1"/>
    <col min="4870" max="4870" width="17.125" style="13" customWidth="1"/>
    <col min="4871" max="4871" width="17.875" style="13" customWidth="1"/>
    <col min="4872" max="4872" width="2.125" style="13" customWidth="1"/>
    <col min="4873" max="4874" width="15.625" style="13" customWidth="1"/>
    <col min="4875" max="4875" width="2.5" style="13" customWidth="1"/>
    <col min="4876" max="4876" width="17.125" style="13" customWidth="1"/>
    <col min="4877" max="4877" width="18.5" style="13" customWidth="1"/>
    <col min="4878" max="5120" width="10" style="13"/>
    <col min="5121" max="5121" width="19.5" style="13" customWidth="1"/>
    <col min="5122" max="5122" width="1.5" style="13" customWidth="1"/>
    <col min="5123" max="5124" width="15.625" style="13" customWidth="1"/>
    <col min="5125" max="5125" width="2.375" style="13" customWidth="1"/>
    <col min="5126" max="5126" width="17.125" style="13" customWidth="1"/>
    <col min="5127" max="5127" width="17.875" style="13" customWidth="1"/>
    <col min="5128" max="5128" width="2.125" style="13" customWidth="1"/>
    <col min="5129" max="5130" width="15.625" style="13" customWidth="1"/>
    <col min="5131" max="5131" width="2.5" style="13" customWidth="1"/>
    <col min="5132" max="5132" width="17.125" style="13" customWidth="1"/>
    <col min="5133" max="5133" width="18.5" style="13" customWidth="1"/>
    <col min="5134" max="5376" width="10" style="13"/>
    <col min="5377" max="5377" width="19.5" style="13" customWidth="1"/>
    <col min="5378" max="5378" width="1.5" style="13" customWidth="1"/>
    <col min="5379" max="5380" width="15.625" style="13" customWidth="1"/>
    <col min="5381" max="5381" width="2.375" style="13" customWidth="1"/>
    <col min="5382" max="5382" width="17.125" style="13" customWidth="1"/>
    <col min="5383" max="5383" width="17.875" style="13" customWidth="1"/>
    <col min="5384" max="5384" width="2.125" style="13" customWidth="1"/>
    <col min="5385" max="5386" width="15.625" style="13" customWidth="1"/>
    <col min="5387" max="5387" width="2.5" style="13" customWidth="1"/>
    <col min="5388" max="5388" width="17.125" style="13" customWidth="1"/>
    <col min="5389" max="5389" width="18.5" style="13" customWidth="1"/>
    <col min="5390" max="5632" width="10" style="13"/>
    <col min="5633" max="5633" width="19.5" style="13" customWidth="1"/>
    <col min="5634" max="5634" width="1.5" style="13" customWidth="1"/>
    <col min="5635" max="5636" width="15.625" style="13" customWidth="1"/>
    <col min="5637" max="5637" width="2.375" style="13" customWidth="1"/>
    <col min="5638" max="5638" width="17.125" style="13" customWidth="1"/>
    <col min="5639" max="5639" width="17.875" style="13" customWidth="1"/>
    <col min="5640" max="5640" width="2.125" style="13" customWidth="1"/>
    <col min="5641" max="5642" width="15.625" style="13" customWidth="1"/>
    <col min="5643" max="5643" width="2.5" style="13" customWidth="1"/>
    <col min="5644" max="5644" width="17.125" style="13" customWidth="1"/>
    <col min="5645" max="5645" width="18.5" style="13" customWidth="1"/>
    <col min="5646" max="5888" width="10" style="13"/>
    <col min="5889" max="5889" width="19.5" style="13" customWidth="1"/>
    <col min="5890" max="5890" width="1.5" style="13" customWidth="1"/>
    <col min="5891" max="5892" width="15.625" style="13" customWidth="1"/>
    <col min="5893" max="5893" width="2.375" style="13" customWidth="1"/>
    <col min="5894" max="5894" width="17.125" style="13" customWidth="1"/>
    <col min="5895" max="5895" width="17.875" style="13" customWidth="1"/>
    <col min="5896" max="5896" width="2.125" style="13" customWidth="1"/>
    <col min="5897" max="5898" width="15.625" style="13" customWidth="1"/>
    <col min="5899" max="5899" width="2.5" style="13" customWidth="1"/>
    <col min="5900" max="5900" width="17.125" style="13" customWidth="1"/>
    <col min="5901" max="5901" width="18.5" style="13" customWidth="1"/>
    <col min="5902" max="6144" width="10" style="13"/>
    <col min="6145" max="6145" width="19.5" style="13" customWidth="1"/>
    <col min="6146" max="6146" width="1.5" style="13" customWidth="1"/>
    <col min="6147" max="6148" width="15.625" style="13" customWidth="1"/>
    <col min="6149" max="6149" width="2.375" style="13" customWidth="1"/>
    <col min="6150" max="6150" width="17.125" style="13" customWidth="1"/>
    <col min="6151" max="6151" width="17.875" style="13" customWidth="1"/>
    <col min="6152" max="6152" width="2.125" style="13" customWidth="1"/>
    <col min="6153" max="6154" width="15.625" style="13" customWidth="1"/>
    <col min="6155" max="6155" width="2.5" style="13" customWidth="1"/>
    <col min="6156" max="6156" width="17.125" style="13" customWidth="1"/>
    <col min="6157" max="6157" width="18.5" style="13" customWidth="1"/>
    <col min="6158" max="6400" width="10" style="13"/>
    <col min="6401" max="6401" width="19.5" style="13" customWidth="1"/>
    <col min="6402" max="6402" width="1.5" style="13" customWidth="1"/>
    <col min="6403" max="6404" width="15.625" style="13" customWidth="1"/>
    <col min="6405" max="6405" width="2.375" style="13" customWidth="1"/>
    <col min="6406" max="6406" width="17.125" style="13" customWidth="1"/>
    <col min="6407" max="6407" width="17.875" style="13" customWidth="1"/>
    <col min="6408" max="6408" width="2.125" style="13" customWidth="1"/>
    <col min="6409" max="6410" width="15.625" style="13" customWidth="1"/>
    <col min="6411" max="6411" width="2.5" style="13" customWidth="1"/>
    <col min="6412" max="6412" width="17.125" style="13" customWidth="1"/>
    <col min="6413" max="6413" width="18.5" style="13" customWidth="1"/>
    <col min="6414" max="6656" width="10" style="13"/>
    <col min="6657" max="6657" width="19.5" style="13" customWidth="1"/>
    <col min="6658" max="6658" width="1.5" style="13" customWidth="1"/>
    <col min="6659" max="6660" width="15.625" style="13" customWidth="1"/>
    <col min="6661" max="6661" width="2.375" style="13" customWidth="1"/>
    <col min="6662" max="6662" width="17.125" style="13" customWidth="1"/>
    <col min="6663" max="6663" width="17.875" style="13" customWidth="1"/>
    <col min="6664" max="6664" width="2.125" style="13" customWidth="1"/>
    <col min="6665" max="6666" width="15.625" style="13" customWidth="1"/>
    <col min="6667" max="6667" width="2.5" style="13" customWidth="1"/>
    <col min="6668" max="6668" width="17.125" style="13" customWidth="1"/>
    <col min="6669" max="6669" width="18.5" style="13" customWidth="1"/>
    <col min="6670" max="6912" width="10" style="13"/>
    <col min="6913" max="6913" width="19.5" style="13" customWidth="1"/>
    <col min="6914" max="6914" width="1.5" style="13" customWidth="1"/>
    <col min="6915" max="6916" width="15.625" style="13" customWidth="1"/>
    <col min="6917" max="6917" width="2.375" style="13" customWidth="1"/>
    <col min="6918" max="6918" width="17.125" style="13" customWidth="1"/>
    <col min="6919" max="6919" width="17.875" style="13" customWidth="1"/>
    <col min="6920" max="6920" width="2.125" style="13" customWidth="1"/>
    <col min="6921" max="6922" width="15.625" style="13" customWidth="1"/>
    <col min="6923" max="6923" width="2.5" style="13" customWidth="1"/>
    <col min="6924" max="6924" width="17.125" style="13" customWidth="1"/>
    <col min="6925" max="6925" width="18.5" style="13" customWidth="1"/>
    <col min="6926" max="7168" width="10" style="13"/>
    <col min="7169" max="7169" width="19.5" style="13" customWidth="1"/>
    <col min="7170" max="7170" width="1.5" style="13" customWidth="1"/>
    <col min="7171" max="7172" width="15.625" style="13" customWidth="1"/>
    <col min="7173" max="7173" width="2.375" style="13" customWidth="1"/>
    <col min="7174" max="7174" width="17.125" style="13" customWidth="1"/>
    <col min="7175" max="7175" width="17.875" style="13" customWidth="1"/>
    <col min="7176" max="7176" width="2.125" style="13" customWidth="1"/>
    <col min="7177" max="7178" width="15.625" style="13" customWidth="1"/>
    <col min="7179" max="7179" width="2.5" style="13" customWidth="1"/>
    <col min="7180" max="7180" width="17.125" style="13" customWidth="1"/>
    <col min="7181" max="7181" width="18.5" style="13" customWidth="1"/>
    <col min="7182" max="7424" width="10" style="13"/>
    <col min="7425" max="7425" width="19.5" style="13" customWidth="1"/>
    <col min="7426" max="7426" width="1.5" style="13" customWidth="1"/>
    <col min="7427" max="7428" width="15.625" style="13" customWidth="1"/>
    <col min="7429" max="7429" width="2.375" style="13" customWidth="1"/>
    <col min="7430" max="7430" width="17.125" style="13" customWidth="1"/>
    <col min="7431" max="7431" width="17.875" style="13" customWidth="1"/>
    <col min="7432" max="7432" width="2.125" style="13" customWidth="1"/>
    <col min="7433" max="7434" width="15.625" style="13" customWidth="1"/>
    <col min="7435" max="7435" width="2.5" style="13" customWidth="1"/>
    <col min="7436" max="7436" width="17.125" style="13" customWidth="1"/>
    <col min="7437" max="7437" width="18.5" style="13" customWidth="1"/>
    <col min="7438" max="7680" width="10" style="13"/>
    <col min="7681" max="7681" width="19.5" style="13" customWidth="1"/>
    <col min="7682" max="7682" width="1.5" style="13" customWidth="1"/>
    <col min="7683" max="7684" width="15.625" style="13" customWidth="1"/>
    <col min="7685" max="7685" width="2.375" style="13" customWidth="1"/>
    <col min="7686" max="7686" width="17.125" style="13" customWidth="1"/>
    <col min="7687" max="7687" width="17.875" style="13" customWidth="1"/>
    <col min="7688" max="7688" width="2.125" style="13" customWidth="1"/>
    <col min="7689" max="7690" width="15.625" style="13" customWidth="1"/>
    <col min="7691" max="7691" width="2.5" style="13" customWidth="1"/>
    <col min="7692" max="7692" width="17.125" style="13" customWidth="1"/>
    <col min="7693" max="7693" width="18.5" style="13" customWidth="1"/>
    <col min="7694" max="7936" width="10" style="13"/>
    <col min="7937" max="7937" width="19.5" style="13" customWidth="1"/>
    <col min="7938" max="7938" width="1.5" style="13" customWidth="1"/>
    <col min="7939" max="7940" width="15.625" style="13" customWidth="1"/>
    <col min="7941" max="7941" width="2.375" style="13" customWidth="1"/>
    <col min="7942" max="7942" width="17.125" style="13" customWidth="1"/>
    <col min="7943" max="7943" width="17.875" style="13" customWidth="1"/>
    <col min="7944" max="7944" width="2.125" style="13" customWidth="1"/>
    <col min="7945" max="7946" width="15.625" style="13" customWidth="1"/>
    <col min="7947" max="7947" width="2.5" style="13" customWidth="1"/>
    <col min="7948" max="7948" width="17.125" style="13" customWidth="1"/>
    <col min="7949" max="7949" width="18.5" style="13" customWidth="1"/>
    <col min="7950" max="8192" width="10" style="13"/>
    <col min="8193" max="8193" width="19.5" style="13" customWidth="1"/>
    <col min="8194" max="8194" width="1.5" style="13" customWidth="1"/>
    <col min="8195" max="8196" width="15.625" style="13" customWidth="1"/>
    <col min="8197" max="8197" width="2.375" style="13" customWidth="1"/>
    <col min="8198" max="8198" width="17.125" style="13" customWidth="1"/>
    <col min="8199" max="8199" width="17.875" style="13" customWidth="1"/>
    <col min="8200" max="8200" width="2.125" style="13" customWidth="1"/>
    <col min="8201" max="8202" width="15.625" style="13" customWidth="1"/>
    <col min="8203" max="8203" width="2.5" style="13" customWidth="1"/>
    <col min="8204" max="8204" width="17.125" style="13" customWidth="1"/>
    <col min="8205" max="8205" width="18.5" style="13" customWidth="1"/>
    <col min="8206" max="8448" width="10" style="13"/>
    <col min="8449" max="8449" width="19.5" style="13" customWidth="1"/>
    <col min="8450" max="8450" width="1.5" style="13" customWidth="1"/>
    <col min="8451" max="8452" width="15.625" style="13" customWidth="1"/>
    <col min="8453" max="8453" width="2.375" style="13" customWidth="1"/>
    <col min="8454" max="8454" width="17.125" style="13" customWidth="1"/>
    <col min="8455" max="8455" width="17.875" style="13" customWidth="1"/>
    <col min="8456" max="8456" width="2.125" style="13" customWidth="1"/>
    <col min="8457" max="8458" width="15.625" style="13" customWidth="1"/>
    <col min="8459" max="8459" width="2.5" style="13" customWidth="1"/>
    <col min="8460" max="8460" width="17.125" style="13" customWidth="1"/>
    <col min="8461" max="8461" width="18.5" style="13" customWidth="1"/>
    <col min="8462" max="8704" width="10" style="13"/>
    <col min="8705" max="8705" width="19.5" style="13" customWidth="1"/>
    <col min="8706" max="8706" width="1.5" style="13" customWidth="1"/>
    <col min="8707" max="8708" width="15.625" style="13" customWidth="1"/>
    <col min="8709" max="8709" width="2.375" style="13" customWidth="1"/>
    <col min="8710" max="8710" width="17.125" style="13" customWidth="1"/>
    <col min="8711" max="8711" width="17.875" style="13" customWidth="1"/>
    <col min="8712" max="8712" width="2.125" style="13" customWidth="1"/>
    <col min="8713" max="8714" width="15.625" style="13" customWidth="1"/>
    <col min="8715" max="8715" width="2.5" style="13" customWidth="1"/>
    <col min="8716" max="8716" width="17.125" style="13" customWidth="1"/>
    <col min="8717" max="8717" width="18.5" style="13" customWidth="1"/>
    <col min="8718" max="8960" width="10" style="13"/>
    <col min="8961" max="8961" width="19.5" style="13" customWidth="1"/>
    <col min="8962" max="8962" width="1.5" style="13" customWidth="1"/>
    <col min="8963" max="8964" width="15.625" style="13" customWidth="1"/>
    <col min="8965" max="8965" width="2.375" style="13" customWidth="1"/>
    <col min="8966" max="8966" width="17.125" style="13" customWidth="1"/>
    <col min="8967" max="8967" width="17.875" style="13" customWidth="1"/>
    <col min="8968" max="8968" width="2.125" style="13" customWidth="1"/>
    <col min="8969" max="8970" width="15.625" style="13" customWidth="1"/>
    <col min="8971" max="8971" width="2.5" style="13" customWidth="1"/>
    <col min="8972" max="8972" width="17.125" style="13" customWidth="1"/>
    <col min="8973" max="8973" width="18.5" style="13" customWidth="1"/>
    <col min="8974" max="9216" width="10" style="13"/>
    <col min="9217" max="9217" width="19.5" style="13" customWidth="1"/>
    <col min="9218" max="9218" width="1.5" style="13" customWidth="1"/>
    <col min="9219" max="9220" width="15.625" style="13" customWidth="1"/>
    <col min="9221" max="9221" width="2.375" style="13" customWidth="1"/>
    <col min="9222" max="9222" width="17.125" style="13" customWidth="1"/>
    <col min="9223" max="9223" width="17.875" style="13" customWidth="1"/>
    <col min="9224" max="9224" width="2.125" style="13" customWidth="1"/>
    <col min="9225" max="9226" width="15.625" style="13" customWidth="1"/>
    <col min="9227" max="9227" width="2.5" style="13" customWidth="1"/>
    <col min="9228" max="9228" width="17.125" style="13" customWidth="1"/>
    <col min="9229" max="9229" width="18.5" style="13" customWidth="1"/>
    <col min="9230" max="9472" width="10" style="13"/>
    <col min="9473" max="9473" width="19.5" style="13" customWidth="1"/>
    <col min="9474" max="9474" width="1.5" style="13" customWidth="1"/>
    <col min="9475" max="9476" width="15.625" style="13" customWidth="1"/>
    <col min="9477" max="9477" width="2.375" style="13" customWidth="1"/>
    <col min="9478" max="9478" width="17.125" style="13" customWidth="1"/>
    <col min="9479" max="9479" width="17.875" style="13" customWidth="1"/>
    <col min="9480" max="9480" width="2.125" style="13" customWidth="1"/>
    <col min="9481" max="9482" width="15.625" style="13" customWidth="1"/>
    <col min="9483" max="9483" width="2.5" style="13" customWidth="1"/>
    <col min="9484" max="9484" width="17.125" style="13" customWidth="1"/>
    <col min="9485" max="9485" width="18.5" style="13" customWidth="1"/>
    <col min="9486" max="9728" width="10" style="13"/>
    <col min="9729" max="9729" width="19.5" style="13" customWidth="1"/>
    <col min="9730" max="9730" width="1.5" style="13" customWidth="1"/>
    <col min="9731" max="9732" width="15.625" style="13" customWidth="1"/>
    <col min="9733" max="9733" width="2.375" style="13" customWidth="1"/>
    <col min="9734" max="9734" width="17.125" style="13" customWidth="1"/>
    <col min="9735" max="9735" width="17.875" style="13" customWidth="1"/>
    <col min="9736" max="9736" width="2.125" style="13" customWidth="1"/>
    <col min="9737" max="9738" width="15.625" style="13" customWidth="1"/>
    <col min="9739" max="9739" width="2.5" style="13" customWidth="1"/>
    <col min="9740" max="9740" width="17.125" style="13" customWidth="1"/>
    <col min="9741" max="9741" width="18.5" style="13" customWidth="1"/>
    <col min="9742" max="9984" width="10" style="13"/>
    <col min="9985" max="9985" width="19.5" style="13" customWidth="1"/>
    <col min="9986" max="9986" width="1.5" style="13" customWidth="1"/>
    <col min="9987" max="9988" width="15.625" style="13" customWidth="1"/>
    <col min="9989" max="9989" width="2.375" style="13" customWidth="1"/>
    <col min="9990" max="9990" width="17.125" style="13" customWidth="1"/>
    <col min="9991" max="9991" width="17.875" style="13" customWidth="1"/>
    <col min="9992" max="9992" width="2.125" style="13" customWidth="1"/>
    <col min="9993" max="9994" width="15.625" style="13" customWidth="1"/>
    <col min="9995" max="9995" width="2.5" style="13" customWidth="1"/>
    <col min="9996" max="9996" width="17.125" style="13" customWidth="1"/>
    <col min="9997" max="9997" width="18.5" style="13" customWidth="1"/>
    <col min="9998" max="10240" width="10" style="13"/>
    <col min="10241" max="10241" width="19.5" style="13" customWidth="1"/>
    <col min="10242" max="10242" width="1.5" style="13" customWidth="1"/>
    <col min="10243" max="10244" width="15.625" style="13" customWidth="1"/>
    <col min="10245" max="10245" width="2.375" style="13" customWidth="1"/>
    <col min="10246" max="10246" width="17.125" style="13" customWidth="1"/>
    <col min="10247" max="10247" width="17.875" style="13" customWidth="1"/>
    <col min="10248" max="10248" width="2.125" style="13" customWidth="1"/>
    <col min="10249" max="10250" width="15.625" style="13" customWidth="1"/>
    <col min="10251" max="10251" width="2.5" style="13" customWidth="1"/>
    <col min="10252" max="10252" width="17.125" style="13" customWidth="1"/>
    <col min="10253" max="10253" width="18.5" style="13" customWidth="1"/>
    <col min="10254" max="10496" width="10" style="13"/>
    <col min="10497" max="10497" width="19.5" style="13" customWidth="1"/>
    <col min="10498" max="10498" width="1.5" style="13" customWidth="1"/>
    <col min="10499" max="10500" width="15.625" style="13" customWidth="1"/>
    <col min="10501" max="10501" width="2.375" style="13" customWidth="1"/>
    <col min="10502" max="10502" width="17.125" style="13" customWidth="1"/>
    <col min="10503" max="10503" width="17.875" style="13" customWidth="1"/>
    <col min="10504" max="10504" width="2.125" style="13" customWidth="1"/>
    <col min="10505" max="10506" width="15.625" style="13" customWidth="1"/>
    <col min="10507" max="10507" width="2.5" style="13" customWidth="1"/>
    <col min="10508" max="10508" width="17.125" style="13" customWidth="1"/>
    <col min="10509" max="10509" width="18.5" style="13" customWidth="1"/>
    <col min="10510" max="10752" width="10" style="13"/>
    <col min="10753" max="10753" width="19.5" style="13" customWidth="1"/>
    <col min="10754" max="10754" width="1.5" style="13" customWidth="1"/>
    <col min="10755" max="10756" width="15.625" style="13" customWidth="1"/>
    <col min="10757" max="10757" width="2.375" style="13" customWidth="1"/>
    <col min="10758" max="10758" width="17.125" style="13" customWidth="1"/>
    <col min="10759" max="10759" width="17.875" style="13" customWidth="1"/>
    <col min="10760" max="10760" width="2.125" style="13" customWidth="1"/>
    <col min="10761" max="10762" width="15.625" style="13" customWidth="1"/>
    <col min="10763" max="10763" width="2.5" style="13" customWidth="1"/>
    <col min="10764" max="10764" width="17.125" style="13" customWidth="1"/>
    <col min="10765" max="10765" width="18.5" style="13" customWidth="1"/>
    <col min="10766" max="11008" width="10" style="13"/>
    <col min="11009" max="11009" width="19.5" style="13" customWidth="1"/>
    <col min="11010" max="11010" width="1.5" style="13" customWidth="1"/>
    <col min="11011" max="11012" width="15.625" style="13" customWidth="1"/>
    <col min="11013" max="11013" width="2.375" style="13" customWidth="1"/>
    <col min="11014" max="11014" width="17.125" style="13" customWidth="1"/>
    <col min="11015" max="11015" width="17.875" style="13" customWidth="1"/>
    <col min="11016" max="11016" width="2.125" style="13" customWidth="1"/>
    <col min="11017" max="11018" width="15.625" style="13" customWidth="1"/>
    <col min="11019" max="11019" width="2.5" style="13" customWidth="1"/>
    <col min="11020" max="11020" width="17.125" style="13" customWidth="1"/>
    <col min="11021" max="11021" width="18.5" style="13" customWidth="1"/>
    <col min="11022" max="11264" width="10" style="13"/>
    <col min="11265" max="11265" width="19.5" style="13" customWidth="1"/>
    <col min="11266" max="11266" width="1.5" style="13" customWidth="1"/>
    <col min="11267" max="11268" width="15.625" style="13" customWidth="1"/>
    <col min="11269" max="11269" width="2.375" style="13" customWidth="1"/>
    <col min="11270" max="11270" width="17.125" style="13" customWidth="1"/>
    <col min="11271" max="11271" width="17.875" style="13" customWidth="1"/>
    <col min="11272" max="11272" width="2.125" style="13" customWidth="1"/>
    <col min="11273" max="11274" width="15.625" style="13" customWidth="1"/>
    <col min="11275" max="11275" width="2.5" style="13" customWidth="1"/>
    <col min="11276" max="11276" width="17.125" style="13" customWidth="1"/>
    <col min="11277" max="11277" width="18.5" style="13" customWidth="1"/>
    <col min="11278" max="11520" width="10" style="13"/>
    <col min="11521" max="11521" width="19.5" style="13" customWidth="1"/>
    <col min="11522" max="11522" width="1.5" style="13" customWidth="1"/>
    <col min="11523" max="11524" width="15.625" style="13" customWidth="1"/>
    <col min="11525" max="11525" width="2.375" style="13" customWidth="1"/>
    <col min="11526" max="11526" width="17.125" style="13" customWidth="1"/>
    <col min="11527" max="11527" width="17.875" style="13" customWidth="1"/>
    <col min="11528" max="11528" width="2.125" style="13" customWidth="1"/>
    <col min="11529" max="11530" width="15.625" style="13" customWidth="1"/>
    <col min="11531" max="11531" width="2.5" style="13" customWidth="1"/>
    <col min="11532" max="11532" width="17.125" style="13" customWidth="1"/>
    <col min="11533" max="11533" width="18.5" style="13" customWidth="1"/>
    <col min="11534" max="11776" width="10" style="13"/>
    <col min="11777" max="11777" width="19.5" style="13" customWidth="1"/>
    <col min="11778" max="11778" width="1.5" style="13" customWidth="1"/>
    <col min="11779" max="11780" width="15.625" style="13" customWidth="1"/>
    <col min="11781" max="11781" width="2.375" style="13" customWidth="1"/>
    <col min="11782" max="11782" width="17.125" style="13" customWidth="1"/>
    <col min="11783" max="11783" width="17.875" style="13" customWidth="1"/>
    <col min="11784" max="11784" width="2.125" style="13" customWidth="1"/>
    <col min="11785" max="11786" width="15.625" style="13" customWidth="1"/>
    <col min="11787" max="11787" width="2.5" style="13" customWidth="1"/>
    <col min="11788" max="11788" width="17.125" style="13" customWidth="1"/>
    <col min="11789" max="11789" width="18.5" style="13" customWidth="1"/>
    <col min="11790" max="12032" width="10" style="13"/>
    <col min="12033" max="12033" width="19.5" style="13" customWidth="1"/>
    <col min="12034" max="12034" width="1.5" style="13" customWidth="1"/>
    <col min="12035" max="12036" width="15.625" style="13" customWidth="1"/>
    <col min="12037" max="12037" width="2.375" style="13" customWidth="1"/>
    <col min="12038" max="12038" width="17.125" style="13" customWidth="1"/>
    <col min="12039" max="12039" width="17.875" style="13" customWidth="1"/>
    <col min="12040" max="12040" width="2.125" style="13" customWidth="1"/>
    <col min="12041" max="12042" width="15.625" style="13" customWidth="1"/>
    <col min="12043" max="12043" width="2.5" style="13" customWidth="1"/>
    <col min="12044" max="12044" width="17.125" style="13" customWidth="1"/>
    <col min="12045" max="12045" width="18.5" style="13" customWidth="1"/>
    <col min="12046" max="12288" width="10" style="13"/>
    <col min="12289" max="12289" width="19.5" style="13" customWidth="1"/>
    <col min="12290" max="12290" width="1.5" style="13" customWidth="1"/>
    <col min="12291" max="12292" width="15.625" style="13" customWidth="1"/>
    <col min="12293" max="12293" width="2.375" style="13" customWidth="1"/>
    <col min="12294" max="12294" width="17.125" style="13" customWidth="1"/>
    <col min="12295" max="12295" width="17.875" style="13" customWidth="1"/>
    <col min="12296" max="12296" width="2.125" style="13" customWidth="1"/>
    <col min="12297" max="12298" width="15.625" style="13" customWidth="1"/>
    <col min="12299" max="12299" width="2.5" style="13" customWidth="1"/>
    <col min="12300" max="12300" width="17.125" style="13" customWidth="1"/>
    <col min="12301" max="12301" width="18.5" style="13" customWidth="1"/>
    <col min="12302" max="12544" width="10" style="13"/>
    <col min="12545" max="12545" width="19.5" style="13" customWidth="1"/>
    <col min="12546" max="12546" width="1.5" style="13" customWidth="1"/>
    <col min="12547" max="12548" width="15.625" style="13" customWidth="1"/>
    <col min="12549" max="12549" width="2.375" style="13" customWidth="1"/>
    <col min="12550" max="12550" width="17.125" style="13" customWidth="1"/>
    <col min="12551" max="12551" width="17.875" style="13" customWidth="1"/>
    <col min="12552" max="12552" width="2.125" style="13" customWidth="1"/>
    <col min="12553" max="12554" width="15.625" style="13" customWidth="1"/>
    <col min="12555" max="12555" width="2.5" style="13" customWidth="1"/>
    <col min="12556" max="12556" width="17.125" style="13" customWidth="1"/>
    <col min="12557" max="12557" width="18.5" style="13" customWidth="1"/>
    <col min="12558" max="12800" width="10" style="13"/>
    <col min="12801" max="12801" width="19.5" style="13" customWidth="1"/>
    <col min="12802" max="12802" width="1.5" style="13" customWidth="1"/>
    <col min="12803" max="12804" width="15.625" style="13" customWidth="1"/>
    <col min="12805" max="12805" width="2.375" style="13" customWidth="1"/>
    <col min="12806" max="12806" width="17.125" style="13" customWidth="1"/>
    <col min="12807" max="12807" width="17.875" style="13" customWidth="1"/>
    <col min="12808" max="12808" width="2.125" style="13" customWidth="1"/>
    <col min="12809" max="12810" width="15.625" style="13" customWidth="1"/>
    <col min="12811" max="12811" width="2.5" style="13" customWidth="1"/>
    <col min="12812" max="12812" width="17.125" style="13" customWidth="1"/>
    <col min="12813" max="12813" width="18.5" style="13" customWidth="1"/>
    <col min="12814" max="13056" width="10" style="13"/>
    <col min="13057" max="13057" width="19.5" style="13" customWidth="1"/>
    <col min="13058" max="13058" width="1.5" style="13" customWidth="1"/>
    <col min="13059" max="13060" width="15.625" style="13" customWidth="1"/>
    <col min="13061" max="13061" width="2.375" style="13" customWidth="1"/>
    <col min="13062" max="13062" width="17.125" style="13" customWidth="1"/>
    <col min="13063" max="13063" width="17.875" style="13" customWidth="1"/>
    <col min="13064" max="13064" width="2.125" style="13" customWidth="1"/>
    <col min="13065" max="13066" width="15.625" style="13" customWidth="1"/>
    <col min="13067" max="13067" width="2.5" style="13" customWidth="1"/>
    <col min="13068" max="13068" width="17.125" style="13" customWidth="1"/>
    <col min="13069" max="13069" width="18.5" style="13" customWidth="1"/>
    <col min="13070" max="13312" width="10" style="13"/>
    <col min="13313" max="13313" width="19.5" style="13" customWidth="1"/>
    <col min="13314" max="13314" width="1.5" style="13" customWidth="1"/>
    <col min="13315" max="13316" width="15.625" style="13" customWidth="1"/>
    <col min="13317" max="13317" width="2.375" style="13" customWidth="1"/>
    <col min="13318" max="13318" width="17.125" style="13" customWidth="1"/>
    <col min="13319" max="13319" width="17.875" style="13" customWidth="1"/>
    <col min="13320" max="13320" width="2.125" style="13" customWidth="1"/>
    <col min="13321" max="13322" width="15.625" style="13" customWidth="1"/>
    <col min="13323" max="13323" width="2.5" style="13" customWidth="1"/>
    <col min="13324" max="13324" width="17.125" style="13" customWidth="1"/>
    <col min="13325" max="13325" width="18.5" style="13" customWidth="1"/>
    <col min="13326" max="13568" width="10" style="13"/>
    <col min="13569" max="13569" width="19.5" style="13" customWidth="1"/>
    <col min="13570" max="13570" width="1.5" style="13" customWidth="1"/>
    <col min="13571" max="13572" width="15.625" style="13" customWidth="1"/>
    <col min="13573" max="13573" width="2.375" style="13" customWidth="1"/>
    <col min="13574" max="13574" width="17.125" style="13" customWidth="1"/>
    <col min="13575" max="13575" width="17.875" style="13" customWidth="1"/>
    <col min="13576" max="13576" width="2.125" style="13" customWidth="1"/>
    <col min="13577" max="13578" width="15.625" style="13" customWidth="1"/>
    <col min="13579" max="13579" width="2.5" style="13" customWidth="1"/>
    <col min="13580" max="13580" width="17.125" style="13" customWidth="1"/>
    <col min="13581" max="13581" width="18.5" style="13" customWidth="1"/>
    <col min="13582" max="13824" width="10" style="13"/>
    <col min="13825" max="13825" width="19.5" style="13" customWidth="1"/>
    <col min="13826" max="13826" width="1.5" style="13" customWidth="1"/>
    <col min="13827" max="13828" width="15.625" style="13" customWidth="1"/>
    <col min="13829" max="13829" width="2.375" style="13" customWidth="1"/>
    <col min="13830" max="13830" width="17.125" style="13" customWidth="1"/>
    <col min="13831" max="13831" width="17.875" style="13" customWidth="1"/>
    <col min="13832" max="13832" width="2.125" style="13" customWidth="1"/>
    <col min="13833" max="13834" width="15.625" style="13" customWidth="1"/>
    <col min="13835" max="13835" width="2.5" style="13" customWidth="1"/>
    <col min="13836" max="13836" width="17.125" style="13" customWidth="1"/>
    <col min="13837" max="13837" width="18.5" style="13" customWidth="1"/>
    <col min="13838" max="14080" width="10" style="13"/>
    <col min="14081" max="14081" width="19.5" style="13" customWidth="1"/>
    <col min="14082" max="14082" width="1.5" style="13" customWidth="1"/>
    <col min="14083" max="14084" width="15.625" style="13" customWidth="1"/>
    <col min="14085" max="14085" width="2.375" style="13" customWidth="1"/>
    <col min="14086" max="14086" width="17.125" style="13" customWidth="1"/>
    <col min="14087" max="14087" width="17.875" style="13" customWidth="1"/>
    <col min="14088" max="14088" width="2.125" style="13" customWidth="1"/>
    <col min="14089" max="14090" width="15.625" style="13" customWidth="1"/>
    <col min="14091" max="14091" width="2.5" style="13" customWidth="1"/>
    <col min="14092" max="14092" width="17.125" style="13" customWidth="1"/>
    <col min="14093" max="14093" width="18.5" style="13" customWidth="1"/>
    <col min="14094" max="14336" width="10" style="13"/>
    <col min="14337" max="14337" width="19.5" style="13" customWidth="1"/>
    <col min="14338" max="14338" width="1.5" style="13" customWidth="1"/>
    <col min="14339" max="14340" width="15.625" style="13" customWidth="1"/>
    <col min="14341" max="14341" width="2.375" style="13" customWidth="1"/>
    <col min="14342" max="14342" width="17.125" style="13" customWidth="1"/>
    <col min="14343" max="14343" width="17.875" style="13" customWidth="1"/>
    <col min="14344" max="14344" width="2.125" style="13" customWidth="1"/>
    <col min="14345" max="14346" width="15.625" style="13" customWidth="1"/>
    <col min="14347" max="14347" width="2.5" style="13" customWidth="1"/>
    <col min="14348" max="14348" width="17.125" style="13" customWidth="1"/>
    <col min="14349" max="14349" width="18.5" style="13" customWidth="1"/>
    <col min="14350" max="14592" width="10" style="13"/>
    <col min="14593" max="14593" width="19.5" style="13" customWidth="1"/>
    <col min="14594" max="14594" width="1.5" style="13" customWidth="1"/>
    <col min="14595" max="14596" width="15.625" style="13" customWidth="1"/>
    <col min="14597" max="14597" width="2.375" style="13" customWidth="1"/>
    <col min="14598" max="14598" width="17.125" style="13" customWidth="1"/>
    <col min="14599" max="14599" width="17.875" style="13" customWidth="1"/>
    <col min="14600" max="14600" width="2.125" style="13" customWidth="1"/>
    <col min="14601" max="14602" width="15.625" style="13" customWidth="1"/>
    <col min="14603" max="14603" width="2.5" style="13" customWidth="1"/>
    <col min="14604" max="14604" width="17.125" style="13" customWidth="1"/>
    <col min="14605" max="14605" width="18.5" style="13" customWidth="1"/>
    <col min="14606" max="14848" width="10" style="13"/>
    <col min="14849" max="14849" width="19.5" style="13" customWidth="1"/>
    <col min="14850" max="14850" width="1.5" style="13" customWidth="1"/>
    <col min="14851" max="14852" width="15.625" style="13" customWidth="1"/>
    <col min="14853" max="14853" width="2.375" style="13" customWidth="1"/>
    <col min="14854" max="14854" width="17.125" style="13" customWidth="1"/>
    <col min="14855" max="14855" width="17.875" style="13" customWidth="1"/>
    <col min="14856" max="14856" width="2.125" style="13" customWidth="1"/>
    <col min="14857" max="14858" width="15.625" style="13" customWidth="1"/>
    <col min="14859" max="14859" width="2.5" style="13" customWidth="1"/>
    <col min="14860" max="14860" width="17.125" style="13" customWidth="1"/>
    <col min="14861" max="14861" width="18.5" style="13" customWidth="1"/>
    <col min="14862" max="15104" width="10" style="13"/>
    <col min="15105" max="15105" width="19.5" style="13" customWidth="1"/>
    <col min="15106" max="15106" width="1.5" style="13" customWidth="1"/>
    <col min="15107" max="15108" width="15.625" style="13" customWidth="1"/>
    <col min="15109" max="15109" width="2.375" style="13" customWidth="1"/>
    <col min="15110" max="15110" width="17.125" style="13" customWidth="1"/>
    <col min="15111" max="15111" width="17.875" style="13" customWidth="1"/>
    <col min="15112" max="15112" width="2.125" style="13" customWidth="1"/>
    <col min="15113" max="15114" width="15.625" style="13" customWidth="1"/>
    <col min="15115" max="15115" width="2.5" style="13" customWidth="1"/>
    <col min="15116" max="15116" width="17.125" style="13" customWidth="1"/>
    <col min="15117" max="15117" width="18.5" style="13" customWidth="1"/>
    <col min="15118" max="15360" width="10" style="13"/>
    <col min="15361" max="15361" width="19.5" style="13" customWidth="1"/>
    <col min="15362" max="15362" width="1.5" style="13" customWidth="1"/>
    <col min="15363" max="15364" width="15.625" style="13" customWidth="1"/>
    <col min="15365" max="15365" width="2.375" style="13" customWidth="1"/>
    <col min="15366" max="15366" width="17.125" style="13" customWidth="1"/>
    <col min="15367" max="15367" width="17.875" style="13" customWidth="1"/>
    <col min="15368" max="15368" width="2.125" style="13" customWidth="1"/>
    <col min="15369" max="15370" width="15.625" style="13" customWidth="1"/>
    <col min="15371" max="15371" width="2.5" style="13" customWidth="1"/>
    <col min="15372" max="15372" width="17.125" style="13" customWidth="1"/>
    <col min="15373" max="15373" width="18.5" style="13" customWidth="1"/>
    <col min="15374" max="15616" width="10" style="13"/>
    <col min="15617" max="15617" width="19.5" style="13" customWidth="1"/>
    <col min="15618" max="15618" width="1.5" style="13" customWidth="1"/>
    <col min="15619" max="15620" width="15.625" style="13" customWidth="1"/>
    <col min="15621" max="15621" width="2.375" style="13" customWidth="1"/>
    <col min="15622" max="15622" width="17.125" style="13" customWidth="1"/>
    <col min="15623" max="15623" width="17.875" style="13" customWidth="1"/>
    <col min="15624" max="15624" width="2.125" style="13" customWidth="1"/>
    <col min="15625" max="15626" width="15.625" style="13" customWidth="1"/>
    <col min="15627" max="15627" width="2.5" style="13" customWidth="1"/>
    <col min="15628" max="15628" width="17.125" style="13" customWidth="1"/>
    <col min="15629" max="15629" width="18.5" style="13" customWidth="1"/>
    <col min="15630" max="15872" width="10" style="13"/>
    <col min="15873" max="15873" width="19.5" style="13" customWidth="1"/>
    <col min="15874" max="15874" width="1.5" style="13" customWidth="1"/>
    <col min="15875" max="15876" width="15.625" style="13" customWidth="1"/>
    <col min="15877" max="15877" width="2.375" style="13" customWidth="1"/>
    <col min="15878" max="15878" width="17.125" style="13" customWidth="1"/>
    <col min="15879" max="15879" width="17.875" style="13" customWidth="1"/>
    <col min="15880" max="15880" width="2.125" style="13" customWidth="1"/>
    <col min="15881" max="15882" width="15.625" style="13" customWidth="1"/>
    <col min="15883" max="15883" width="2.5" style="13" customWidth="1"/>
    <col min="15884" max="15884" width="17.125" style="13" customWidth="1"/>
    <col min="15885" max="15885" width="18.5" style="13" customWidth="1"/>
    <col min="15886" max="16128" width="10" style="13"/>
    <col min="16129" max="16129" width="19.5" style="13" customWidth="1"/>
    <col min="16130" max="16130" width="1.5" style="13" customWidth="1"/>
    <col min="16131" max="16132" width="15.625" style="13" customWidth="1"/>
    <col min="16133" max="16133" width="2.375" style="13" customWidth="1"/>
    <col min="16134" max="16134" width="17.125" style="13" customWidth="1"/>
    <col min="16135" max="16135" width="17.875" style="13" customWidth="1"/>
    <col min="16136" max="16136" width="2.125" style="13" customWidth="1"/>
    <col min="16137" max="16138" width="15.625" style="13" customWidth="1"/>
    <col min="16139" max="16139" width="2.5" style="13" customWidth="1"/>
    <col min="16140" max="16140" width="17.125" style="13" customWidth="1"/>
    <col min="16141" max="16141" width="18.5" style="13" customWidth="1"/>
    <col min="16142" max="16384" width="10" style="13"/>
  </cols>
  <sheetData>
    <row r="1" spans="1:13" s="318" customFormat="1" ht="19.5">
      <c r="A1" s="1" t="s">
        <v>494</v>
      </c>
      <c r="B1" s="1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</row>
    <row r="2" spans="1:13">
      <c r="M2" s="5"/>
    </row>
    <row r="3" spans="1:13" s="318" customFormat="1">
      <c r="A3" s="322" t="s">
        <v>63</v>
      </c>
      <c r="B3" s="323"/>
      <c r="C3" s="546" t="s">
        <v>495</v>
      </c>
      <c r="D3" s="547" t="s">
        <v>496</v>
      </c>
      <c r="E3" s="323"/>
      <c r="F3" s="324" t="s">
        <v>497</v>
      </c>
      <c r="G3" s="325" t="s">
        <v>498</v>
      </c>
      <c r="H3" s="323"/>
      <c r="I3" s="546" t="s">
        <v>499</v>
      </c>
      <c r="J3" s="547" t="s">
        <v>500</v>
      </c>
      <c r="K3" s="323"/>
      <c r="L3" s="324" t="s">
        <v>501</v>
      </c>
      <c r="M3" s="325" t="s">
        <v>502</v>
      </c>
    </row>
    <row r="4" spans="1:13">
      <c r="A4" s="326">
        <v>85121010001</v>
      </c>
      <c r="B4" s="480"/>
      <c r="C4" s="479"/>
      <c r="D4" s="327"/>
      <c r="E4" s="479"/>
      <c r="F4" s="479"/>
      <c r="G4" s="327"/>
      <c r="H4" s="479"/>
      <c r="I4" s="479"/>
      <c r="J4" s="327"/>
      <c r="K4" s="479"/>
      <c r="L4" s="479"/>
      <c r="M4" s="327"/>
    </row>
    <row r="5" spans="1:13">
      <c r="A5" s="328" t="s">
        <v>64</v>
      </c>
      <c r="B5" s="318"/>
      <c r="C5" s="468">
        <v>3972</v>
      </c>
      <c r="D5" s="468">
        <v>530126</v>
      </c>
      <c r="F5" s="468">
        <v>31306</v>
      </c>
      <c r="G5" s="468">
        <v>3585327</v>
      </c>
      <c r="I5" s="468">
        <v>4484</v>
      </c>
      <c r="J5" s="468">
        <v>341063</v>
      </c>
      <c r="L5" s="468">
        <v>17083</v>
      </c>
      <c r="M5" s="468">
        <v>1415450</v>
      </c>
    </row>
    <row r="6" spans="1:13">
      <c r="A6" s="328" t="s">
        <v>65</v>
      </c>
      <c r="B6" s="13" t="s">
        <v>66</v>
      </c>
      <c r="C6" s="468">
        <v>34889</v>
      </c>
      <c r="D6" s="467" t="s">
        <v>394</v>
      </c>
      <c r="E6" s="13" t="s">
        <v>66</v>
      </c>
      <c r="F6" s="468">
        <v>255703</v>
      </c>
      <c r="G6" s="467" t="s">
        <v>394</v>
      </c>
      <c r="H6" s="13" t="s">
        <v>66</v>
      </c>
      <c r="I6" s="468">
        <v>114049</v>
      </c>
      <c r="J6" s="467" t="s">
        <v>394</v>
      </c>
      <c r="K6" s="321" t="s">
        <v>66</v>
      </c>
      <c r="L6" s="468">
        <v>374890</v>
      </c>
      <c r="M6" s="467" t="s">
        <v>394</v>
      </c>
    </row>
    <row r="7" spans="1:13">
      <c r="A7" s="330">
        <v>85121020009</v>
      </c>
      <c r="B7" s="478"/>
      <c r="C7" s="473"/>
      <c r="D7" s="476"/>
      <c r="E7" s="477"/>
      <c r="F7" s="473"/>
      <c r="G7" s="469"/>
      <c r="H7" s="477"/>
      <c r="I7" s="476"/>
      <c r="J7" s="476"/>
      <c r="K7" s="477"/>
      <c r="L7" s="476"/>
      <c r="M7" s="476"/>
    </row>
    <row r="8" spans="1:13">
      <c r="A8" s="328" t="s">
        <v>67</v>
      </c>
      <c r="B8" s="318"/>
      <c r="C8" s="468">
        <v>2573</v>
      </c>
      <c r="D8" s="468">
        <v>570201</v>
      </c>
      <c r="F8" s="468">
        <v>16695</v>
      </c>
      <c r="G8" s="468">
        <v>3105893</v>
      </c>
      <c r="I8" s="468">
        <v>2829</v>
      </c>
      <c r="J8" s="468">
        <v>202224</v>
      </c>
      <c r="L8" s="468">
        <v>9660</v>
      </c>
      <c r="M8" s="468">
        <v>836569</v>
      </c>
    </row>
    <row r="9" spans="1:13">
      <c r="A9" s="328" t="s">
        <v>68</v>
      </c>
      <c r="B9" s="13" t="s">
        <v>66</v>
      </c>
      <c r="C9" s="468">
        <v>34525</v>
      </c>
      <c r="D9" s="467" t="s">
        <v>394</v>
      </c>
      <c r="E9" s="13" t="s">
        <v>66</v>
      </c>
      <c r="F9" s="468">
        <v>191857</v>
      </c>
      <c r="G9" s="467" t="s">
        <v>394</v>
      </c>
      <c r="H9" s="13" t="s">
        <v>66</v>
      </c>
      <c r="I9" s="468">
        <v>46532</v>
      </c>
      <c r="J9" s="467" t="s">
        <v>393</v>
      </c>
      <c r="K9" s="321" t="s">
        <v>66</v>
      </c>
      <c r="L9" s="468">
        <v>186672</v>
      </c>
      <c r="M9" s="467" t="s">
        <v>394</v>
      </c>
    </row>
    <row r="10" spans="1:13">
      <c r="A10" s="331">
        <v>87149120007</v>
      </c>
      <c r="B10" s="472"/>
      <c r="C10" s="550"/>
      <c r="D10" s="476"/>
      <c r="E10" s="471"/>
      <c r="F10" s="473"/>
      <c r="G10" s="469"/>
      <c r="H10" s="471"/>
      <c r="I10" s="473"/>
      <c r="J10" s="469"/>
      <c r="K10" s="471"/>
      <c r="L10" s="476"/>
      <c r="M10" s="476"/>
    </row>
    <row r="11" spans="1:13">
      <c r="A11" s="328" t="s">
        <v>70</v>
      </c>
      <c r="B11" s="318"/>
      <c r="C11" s="468">
        <f>VLOOKUP(A10,[16]進出口值表查詢結果!$A$2:$E$19,4,0)</f>
        <v>939193</v>
      </c>
      <c r="D11" s="468">
        <f>VLOOKUP(A10,[16]進出口值表查詢結果!$A$2:$E$19,3,0)</f>
        <v>60979038</v>
      </c>
      <c r="F11" s="468">
        <f>VLOOKUP(A10,[17]進出口值表查詢結果!$A$2:$E$19,4,0)</f>
        <v>4577162</v>
      </c>
      <c r="G11" s="468">
        <f>VLOOKUP(A10,[17]進出口值表查詢結果!$A$2:$E$19,3,0)</f>
        <v>290250255</v>
      </c>
      <c r="I11" s="468">
        <f>VLOOKUP(A10,[18]進出口值表查詢結果!$A$2:$E$19,4,0)</f>
        <v>545151</v>
      </c>
      <c r="J11" s="468">
        <f>VLOOKUP(A10,[18]進出口值表查詢結果!$A$2:$E$19,3,0)</f>
        <v>34362422</v>
      </c>
      <c r="L11" s="468">
        <f>VLOOKUP(A10,[19]進出口值表查詢結果!$A$2:$E$19,4,0)</f>
        <v>2499598</v>
      </c>
      <c r="M11" s="468">
        <f>VLOOKUP(A10,[19]進出口值表查詢結果!$A$2:$E$19,3,0)</f>
        <v>139171267</v>
      </c>
    </row>
    <row r="12" spans="1:13">
      <c r="A12" s="328" t="s">
        <v>71</v>
      </c>
      <c r="B12" s="13" t="s">
        <v>66</v>
      </c>
      <c r="C12" s="468">
        <f>VLOOKUP(A10,[20]出!$B$11:$G$350,6,0)</f>
        <v>0</v>
      </c>
      <c r="D12" s="467"/>
      <c r="E12" s="13" t="s">
        <v>66</v>
      </c>
      <c r="F12" s="468">
        <f>VLOOKUP(A10,[20]出同!$B$11:$J$301,9,0)</f>
        <v>0</v>
      </c>
      <c r="G12" s="467"/>
      <c r="I12" s="468"/>
      <c r="J12" s="467"/>
      <c r="L12" s="468"/>
      <c r="M12" s="467"/>
    </row>
    <row r="13" spans="1:13">
      <c r="A13" s="331">
        <v>87149200108</v>
      </c>
      <c r="B13" s="472"/>
      <c r="C13" s="473"/>
      <c r="D13" s="469"/>
      <c r="E13" s="471"/>
      <c r="F13" s="473"/>
      <c r="G13" s="469"/>
      <c r="H13" s="471"/>
      <c r="I13" s="473"/>
      <c r="J13" s="469"/>
      <c r="K13" s="471"/>
      <c r="L13" s="473"/>
      <c r="M13" s="469"/>
    </row>
    <row r="14" spans="1:13">
      <c r="A14" s="328" t="s">
        <v>72</v>
      </c>
      <c r="B14" s="318"/>
      <c r="C14" s="468">
        <f>VLOOKUP(A13,[16]進出口值表查詢結果!$A$2:$E$19,4,0)</f>
        <v>139631</v>
      </c>
      <c r="D14" s="468">
        <f>VLOOKUP(A13,[16]進出口值表查詢結果!$A$2:$E$19,3,0)</f>
        <v>3023260</v>
      </c>
      <c r="F14" s="468">
        <f>VLOOKUP(A13,[17]進出口值表查詢結果!$A$2:$E$19,4,0)</f>
        <v>605430</v>
      </c>
      <c r="G14" s="468">
        <f>VLOOKUP(A13,[17]進出口值表查詢結果!$A$2:$E$19,3,0)</f>
        <v>12823972</v>
      </c>
      <c r="I14" s="468">
        <f>VLOOKUP(A13,[18]進出口值表查詢結果!$A$2:$E$19,4,0)</f>
        <v>82574</v>
      </c>
      <c r="J14" s="468">
        <f>VLOOKUP(A13,[18]進出口值表查詢結果!$A$2:$E$19,3,0)</f>
        <v>5638178</v>
      </c>
      <c r="L14" s="468">
        <f>VLOOKUP(A13,[19]進出口值表查詢結果!$A$2:$E$19,4,0)</f>
        <v>339659</v>
      </c>
      <c r="M14" s="468">
        <f>VLOOKUP(A13,[19]進出口值表查詢結果!$A$2:$E$19,3,0)</f>
        <v>22791722</v>
      </c>
    </row>
    <row r="15" spans="1:13">
      <c r="A15" s="328"/>
      <c r="B15" s="13" t="s">
        <v>66</v>
      </c>
      <c r="C15" s="468">
        <f>VLOOKUP(A13,[16]進出口值表查詢結果!$A$2:$E$19,5,0)</f>
        <v>271955</v>
      </c>
      <c r="D15" s="467" t="s">
        <v>155</v>
      </c>
      <c r="E15" s="13" t="s">
        <v>66</v>
      </c>
      <c r="F15" s="468">
        <f>VLOOKUP(A13,[17]進出口值表查詢結果!$A$2:$E$19,5,0)</f>
        <v>1156155</v>
      </c>
      <c r="G15" s="467" t="s">
        <v>69</v>
      </c>
      <c r="H15" s="13" t="s">
        <v>66</v>
      </c>
      <c r="I15" s="468">
        <f>VLOOKUP(A13,[18]進出口值表查詢結果!$A$2:$E$19,5,0)</f>
        <v>155674</v>
      </c>
      <c r="J15" s="467" t="s">
        <v>69</v>
      </c>
      <c r="K15" s="321" t="s">
        <v>66</v>
      </c>
      <c r="L15" s="468">
        <f>VLOOKUP(A13,[19]進出口值表查詢結果!$A$2:$E$19,5,0)</f>
        <v>641834</v>
      </c>
      <c r="M15" s="467" t="s">
        <v>69</v>
      </c>
    </row>
    <row r="16" spans="1:13">
      <c r="A16" s="331">
        <v>87149200206</v>
      </c>
      <c r="B16" s="472"/>
      <c r="C16" s="473"/>
      <c r="D16" s="469"/>
      <c r="E16" s="471"/>
      <c r="F16" s="473"/>
      <c r="G16" s="469"/>
      <c r="H16" s="471"/>
      <c r="I16" s="470"/>
      <c r="J16" s="469"/>
      <c r="K16" s="471"/>
      <c r="L16" s="470"/>
      <c r="M16" s="469"/>
    </row>
    <row r="17" spans="1:13">
      <c r="A17" s="328" t="s">
        <v>58</v>
      </c>
      <c r="B17" s="318"/>
      <c r="C17" s="468">
        <f>VLOOKUP(A16,[16]進出口值表查詢結果!$A$2:$E$19,4,0)</f>
        <v>60791</v>
      </c>
      <c r="D17" s="468">
        <f>VLOOKUP(A16,[16]進出口值表查詢結果!$A$2:$E$19,3,0)</f>
        <v>954470</v>
      </c>
      <c r="F17" s="468">
        <f>VLOOKUP(A16,[17]進出口值表查詢結果!$A$2:$E$19,4,0)</f>
        <v>275094</v>
      </c>
      <c r="G17" s="468">
        <f>VLOOKUP(A16,[17]進出口值表查詢結果!$A$2:$E$19,3,0)</f>
        <v>3415874</v>
      </c>
      <c r="I17" s="468">
        <f>VLOOKUP(A16,[18]進出口值表查詢結果!$A$2:$E$19,4,0)</f>
        <v>9027</v>
      </c>
      <c r="J17" s="468">
        <f>VLOOKUP(A16,[18]進出口值表查詢結果!$A$2:$E$19,3,0)</f>
        <v>717903</v>
      </c>
      <c r="L17" s="468">
        <f>VLOOKUP(A16,[19]進出口值表查詢結果!$A$2:$E$19,4,0)</f>
        <v>42406</v>
      </c>
      <c r="M17" s="468">
        <f>VLOOKUP(A16,[19]進出口值表查詢結果!$A$2:$E$19,3,0)</f>
        <v>2743571</v>
      </c>
    </row>
    <row r="18" spans="1:13">
      <c r="A18" s="328"/>
      <c r="B18" s="13" t="s">
        <v>66</v>
      </c>
      <c r="C18" s="468">
        <f>VLOOKUP(A16,[16]進出口值表查詢結果!$A$2:$E$19,5,0)</f>
        <v>8548209</v>
      </c>
      <c r="D18" s="467" t="s">
        <v>155</v>
      </c>
      <c r="E18" s="13" t="s">
        <v>66</v>
      </c>
      <c r="F18" s="468">
        <f>VLOOKUP(A16,[17]進出口值表查詢結果!$A$2:$E$19,5,0)</f>
        <v>37816228</v>
      </c>
      <c r="G18" s="467" t="s">
        <v>69</v>
      </c>
      <c r="H18" s="13" t="s">
        <v>66</v>
      </c>
      <c r="I18" s="468">
        <f>VLOOKUP(A16,[18]進出口值表查詢結果!$A$2:$E$19,5,0)</f>
        <v>1824424</v>
      </c>
      <c r="J18" s="467" t="s">
        <v>69</v>
      </c>
      <c r="K18" s="321" t="s">
        <v>66</v>
      </c>
      <c r="L18" s="468">
        <f>VLOOKUP(A16,[19]進出口值表查詢結果!$A$2:$E$19,5,0)</f>
        <v>7855604</v>
      </c>
      <c r="M18" s="467" t="s">
        <v>69</v>
      </c>
    </row>
    <row r="19" spans="1:13">
      <c r="A19" s="331">
        <v>87149200304</v>
      </c>
      <c r="B19" s="472"/>
      <c r="C19" s="473"/>
      <c r="D19" s="469"/>
      <c r="E19" s="471"/>
      <c r="F19" s="473"/>
      <c r="G19" s="469"/>
      <c r="H19" s="471"/>
      <c r="I19" s="470"/>
      <c r="J19" s="469"/>
      <c r="K19" s="471"/>
      <c r="L19" s="470"/>
      <c r="M19" s="469"/>
    </row>
    <row r="20" spans="1:13">
      <c r="A20" s="328" t="s">
        <v>59</v>
      </c>
      <c r="B20" s="318"/>
      <c r="C20" s="468">
        <f>VLOOKUP(A19,[16]進出口值表查詢結果!$A$2:$E$19,4,0)</f>
        <v>76151</v>
      </c>
      <c r="D20" s="468">
        <f>VLOOKUP(A19,[16]進出口值表查詢結果!$A$2:$E$19,3,0)</f>
        <v>8522542</v>
      </c>
      <c r="E20" s="321">
        <f>[21]二全年出口類別合計驗算!U18</f>
        <v>0</v>
      </c>
      <c r="F20" s="468">
        <f>VLOOKUP(A19,[17]進出口值表查詢結果!$A$2:$E$19,4,0)</f>
        <v>316894</v>
      </c>
      <c r="G20" s="468">
        <f>VLOOKUP(A19,[17]進出口值表查詢結果!$A$2:$E$19,3,0)</f>
        <v>36097850</v>
      </c>
      <c r="I20" s="468">
        <f>VLOOKUP(A19,[18]進出口值表查詢結果!$A$2:$E$19,4,0)</f>
        <v>14315</v>
      </c>
      <c r="J20" s="468">
        <f>VLOOKUP(A19,[18]進出口值表查詢結果!$A$2:$E$19,3,0)</f>
        <v>884182</v>
      </c>
      <c r="L20" s="468">
        <f>VLOOKUP(A19,[19]進出口值表查詢結果!$A$2:$E$19,4,0)</f>
        <v>58716</v>
      </c>
      <c r="M20" s="468">
        <f>VLOOKUP(A19,[19]進出口值表查詢結果!$A$2:$E$19,3,0)</f>
        <v>3137046</v>
      </c>
    </row>
    <row r="21" spans="1:13">
      <c r="A21" s="331">
        <v>87149310007</v>
      </c>
      <c r="B21" s="472"/>
      <c r="C21" s="473"/>
      <c r="D21" s="469"/>
      <c r="E21" s="471"/>
      <c r="F21" s="473"/>
      <c r="G21" s="469"/>
      <c r="H21" s="471"/>
      <c r="I21" s="470"/>
      <c r="J21" s="469"/>
      <c r="K21" s="471"/>
      <c r="L21" s="470"/>
      <c r="M21" s="469"/>
    </row>
    <row r="22" spans="1:13">
      <c r="A22" s="328" t="s">
        <v>73</v>
      </c>
      <c r="B22" s="318"/>
      <c r="C22" s="468">
        <f>VLOOKUP(A21,[16]進出口值表查詢結果!$A$2:$E$19,4,0)</f>
        <v>71966</v>
      </c>
      <c r="D22" s="468">
        <f>VLOOKUP(A21,[16]進出口值表查詢結果!$A$2:$E$19,3,0)</f>
        <v>3908018</v>
      </c>
      <c r="F22" s="468">
        <f>VLOOKUP(A21,[17]進出口值表查詢結果!$A$2:$E$19,4,0)</f>
        <v>378706</v>
      </c>
      <c r="G22" s="468">
        <f>VLOOKUP(A21,[17]進出口值表查詢結果!$A$2:$E$19,3,0)</f>
        <v>21001164</v>
      </c>
      <c r="I22" s="468">
        <f>VLOOKUP(A21,[18]進出口值表查詢結果!$A$2:$E$19,4,0)</f>
        <v>98696</v>
      </c>
      <c r="J22" s="468">
        <f>VLOOKUP(A21,[18]進出口值表查詢結果!$A$2:$E$19,3,0)</f>
        <v>3778510</v>
      </c>
      <c r="L22" s="468">
        <f>VLOOKUP(A21,[19]進出口值表查詢結果!$A$2:$E$19,4,0)</f>
        <v>500404</v>
      </c>
      <c r="M22" s="468">
        <f>VLOOKUP(A21,[19]進出口值表查詢結果!$A$2:$E$19,3,0)</f>
        <v>17185221</v>
      </c>
    </row>
    <row r="23" spans="1:13">
      <c r="A23" s="328" t="s">
        <v>74</v>
      </c>
      <c r="B23" s="318"/>
      <c r="C23" s="468"/>
      <c r="D23" s="467"/>
      <c r="F23" s="468"/>
      <c r="G23" s="467"/>
      <c r="I23" s="468"/>
      <c r="J23" s="467"/>
      <c r="L23" s="468"/>
      <c r="M23" s="467"/>
    </row>
    <row r="24" spans="1:13">
      <c r="A24" s="328" t="s">
        <v>75</v>
      </c>
      <c r="B24" s="318"/>
      <c r="C24" s="468"/>
      <c r="D24" s="467"/>
      <c r="F24" s="468"/>
      <c r="G24" s="467"/>
      <c r="I24" s="468"/>
      <c r="J24" s="467"/>
      <c r="L24" s="468"/>
      <c r="M24" s="467"/>
    </row>
    <row r="25" spans="1:13">
      <c r="A25" s="331">
        <v>87149320103</v>
      </c>
      <c r="B25" s="472"/>
      <c r="C25" s="473"/>
      <c r="D25" s="469"/>
      <c r="E25" s="471"/>
      <c r="F25" s="473"/>
      <c r="G25" s="469"/>
      <c r="H25" s="471"/>
      <c r="I25" s="470"/>
      <c r="J25" s="469"/>
      <c r="K25" s="471"/>
      <c r="L25" s="470"/>
      <c r="M25" s="469"/>
    </row>
    <row r="26" spans="1:13">
      <c r="A26" s="328" t="s">
        <v>406</v>
      </c>
      <c r="B26" s="318"/>
      <c r="C26" s="468">
        <f>VLOOKUP(A25,[16]進出口值表查詢結果!$A$2:$E$19,4,0)</f>
        <v>1997</v>
      </c>
      <c r="D26" s="468">
        <f>VLOOKUP(A25,[16]進出口值表查詢結果!$A$2:$E$19,3,0)</f>
        <v>85709</v>
      </c>
      <c r="F26" s="468">
        <f>VLOOKUP(A25,[17]進出口值表查詢結果!$A$2:$E$19,4,0)</f>
        <v>9366</v>
      </c>
      <c r="G26" s="468">
        <f>VLOOKUP(A25,[17]進出口值表查詢結果!$A$2:$E$19,3,0)</f>
        <v>353191</v>
      </c>
      <c r="I26" s="468">
        <f>VLOOKUP(A25,[18]進出口值表查詢結果!$A$2:$E$19,4,0)</f>
        <v>7314</v>
      </c>
      <c r="J26" s="468">
        <f>VLOOKUP(A25,[18]進出口值表查詢結果!$A$2:$E$19,3,0)</f>
        <v>488338</v>
      </c>
      <c r="L26" s="468">
        <f>VLOOKUP(A25,[19]進出口值表查詢結果!$A$2:$E$19,4,0)</f>
        <v>51393</v>
      </c>
      <c r="M26" s="468">
        <f>VLOOKUP(A25,[19]進出口值表查詢結果!$A$2:$E$19,3,0)</f>
        <v>2763078</v>
      </c>
    </row>
    <row r="27" spans="1:13">
      <c r="A27" s="331">
        <v>87149410006</v>
      </c>
      <c r="B27" s="472"/>
      <c r="C27" s="473"/>
      <c r="D27" s="469"/>
      <c r="E27" s="471"/>
      <c r="F27" s="473"/>
      <c r="G27" s="469"/>
      <c r="H27" s="471"/>
      <c r="I27" s="470"/>
      <c r="J27" s="469"/>
      <c r="K27" s="471"/>
      <c r="L27" s="470"/>
      <c r="M27" s="469"/>
    </row>
    <row r="28" spans="1:13">
      <c r="A28" s="328" t="s">
        <v>76</v>
      </c>
      <c r="B28" s="318"/>
      <c r="C28" s="468">
        <f>VLOOKUP(A27,[16]進出口值表查詢結果!$A$2:$E$19,4,0)</f>
        <v>13608</v>
      </c>
      <c r="D28" s="468">
        <f>VLOOKUP(A27,[16]進出口值表查詢結果!$A$2:$E$19,3,0)</f>
        <v>310973</v>
      </c>
      <c r="F28" s="468">
        <f>VLOOKUP(A27,[17]進出口值表查詢結果!$A$2:$E$19,4,0)</f>
        <v>83328</v>
      </c>
      <c r="G28" s="468">
        <f>VLOOKUP(A27,[17]進出口值表查詢結果!$A$2:$E$19,3,0)</f>
        <v>2148899</v>
      </c>
      <c r="I28" s="468">
        <f>VLOOKUP(A27,[18]進出口值表查詢結果!$A$2:$E$19,4,0)</f>
        <v>4685</v>
      </c>
      <c r="J28" s="468">
        <f>VLOOKUP(A27,[18]進出口值表查詢結果!$A$2:$E$19,3,0)</f>
        <v>287484</v>
      </c>
      <c r="L28" s="468">
        <f>VLOOKUP(A27,[19]進出口值表查詢結果!$A$2:$E$19,4,0)</f>
        <v>29888</v>
      </c>
      <c r="M28" s="468">
        <f>VLOOKUP(A27,[19]進出口值表查詢結果!$A$2:$E$19,3,0)</f>
        <v>1226629</v>
      </c>
    </row>
    <row r="29" spans="1:13">
      <c r="A29" s="328" t="s">
        <v>77</v>
      </c>
      <c r="B29" s="318"/>
      <c r="C29" s="468"/>
      <c r="D29" s="467"/>
      <c r="F29" s="468"/>
      <c r="G29" s="467"/>
      <c r="I29" s="468"/>
      <c r="J29" s="467"/>
      <c r="L29" s="468"/>
      <c r="M29" s="467"/>
    </row>
    <row r="30" spans="1:13">
      <c r="A30" s="331">
        <v>87149490009</v>
      </c>
      <c r="B30" s="472"/>
      <c r="C30" s="473"/>
      <c r="D30" s="469"/>
      <c r="E30" s="471"/>
      <c r="F30" s="473"/>
      <c r="G30" s="469"/>
      <c r="H30" s="471"/>
      <c r="I30" s="470"/>
      <c r="J30" s="469"/>
      <c r="K30" s="471"/>
      <c r="L30" s="470"/>
      <c r="M30" s="469"/>
    </row>
    <row r="31" spans="1:13">
      <c r="A31" s="328" t="s">
        <v>78</v>
      </c>
      <c r="B31" s="318"/>
      <c r="C31" s="468">
        <f>VLOOKUP(A30,[16]進出口值表查詢結果!$A$2:$E$19,4,0)</f>
        <v>329476</v>
      </c>
      <c r="D31" s="468">
        <f>VLOOKUP(A30,[16]進出口值表查詢結果!$A$2:$E$19,3,0)</f>
        <v>16721293</v>
      </c>
      <c r="F31" s="468">
        <f>VLOOKUP(A30,[17]進出口值表查詢結果!$A$2:$E$19,4,0)</f>
        <v>1599242</v>
      </c>
      <c r="G31" s="468">
        <f>VLOOKUP(A30,[17]進出口值表查詢結果!$A$2:$E$19,3,0)</f>
        <v>80770056</v>
      </c>
      <c r="I31" s="468">
        <f>VLOOKUP(A30,[18]進出口值表查詢結果!$A$2:$E$19,4,0)</f>
        <v>116912</v>
      </c>
      <c r="J31" s="468">
        <f>VLOOKUP(A30,[18]進出口值表查詢結果!$A$2:$E$19,3,0)</f>
        <v>11359162</v>
      </c>
      <c r="L31" s="468">
        <f>VLOOKUP(A30,[19]進出口值表查詢結果!$A$2:$E$19,4,0)</f>
        <v>592276</v>
      </c>
      <c r="M31" s="468">
        <f>VLOOKUP(A30,[19]進出口值表查詢結果!$A$2:$E$19,3,0)</f>
        <v>46681651</v>
      </c>
    </row>
    <row r="32" spans="1:13">
      <c r="A32" s="328" t="s">
        <v>79</v>
      </c>
      <c r="B32" s="318"/>
      <c r="C32" s="468"/>
      <c r="D32" s="467"/>
      <c r="F32" s="468"/>
      <c r="G32" s="467"/>
      <c r="I32" s="468"/>
      <c r="J32" s="467"/>
      <c r="L32" s="468"/>
      <c r="M32" s="467"/>
    </row>
    <row r="33" spans="1:13">
      <c r="A33" s="331">
        <v>87149500007</v>
      </c>
      <c r="B33" s="472"/>
      <c r="C33" s="470"/>
      <c r="D33" s="469"/>
      <c r="E33" s="471"/>
      <c r="F33" s="470"/>
      <c r="G33" s="469"/>
      <c r="H33" s="471"/>
      <c r="I33" s="470"/>
      <c r="J33" s="469"/>
      <c r="K33" s="471"/>
      <c r="L33" s="470"/>
      <c r="M33" s="469"/>
    </row>
    <row r="34" spans="1:13">
      <c r="A34" s="328" t="s">
        <v>80</v>
      </c>
      <c r="B34" s="318"/>
      <c r="C34" s="468">
        <f>VLOOKUP(A33,[16]進出口值表查詢結果!$A$2:$E$19,4,0)</f>
        <v>116250</v>
      </c>
      <c r="D34" s="468">
        <f>VLOOKUP(A33,[16]進出口值表查詢結果!$A$2:$E$19,3,0)</f>
        <v>3160344</v>
      </c>
      <c r="F34" s="468">
        <f>VLOOKUP(A33,[17]進出口值表查詢結果!$A$2:$E$19,4,0)</f>
        <v>504000</v>
      </c>
      <c r="G34" s="468">
        <f>VLOOKUP(A33,[17]進出口值表查詢結果!$A$2:$E$19,3,0)</f>
        <v>13326889</v>
      </c>
      <c r="I34" s="468">
        <f>VLOOKUP(A33,[18]進出口值表查詢結果!$A$2:$E$19,4,0)</f>
        <v>73895</v>
      </c>
      <c r="J34" s="468">
        <f>VLOOKUP(A33,[18]進出口值表查詢結果!$A$2:$E$19,3,0)</f>
        <v>1111751</v>
      </c>
      <c r="L34" s="468">
        <f>VLOOKUP(A33,[19]進出口值表查詢結果!$A$2:$E$19,4,0)</f>
        <v>273048</v>
      </c>
      <c r="M34" s="468">
        <f>VLOOKUP(A33,[19]進出口值表查詢結果!$A$2:$E$19,3,0)</f>
        <v>4134221</v>
      </c>
    </row>
    <row r="35" spans="1:13">
      <c r="A35" s="331">
        <v>87149610004</v>
      </c>
      <c r="B35" s="472"/>
      <c r="C35" s="470"/>
      <c r="D35" s="469"/>
      <c r="E35" s="471"/>
      <c r="F35" s="470"/>
      <c r="G35" s="469"/>
      <c r="H35" s="471"/>
      <c r="I35" s="470"/>
      <c r="J35" s="469"/>
      <c r="K35" s="471"/>
      <c r="L35" s="470"/>
      <c r="M35" s="469"/>
    </row>
    <row r="36" spans="1:13">
      <c r="A36" s="328" t="s">
        <v>81</v>
      </c>
      <c r="B36" s="318"/>
      <c r="C36" s="468">
        <f>VLOOKUP(A35,[16]進出口值表查詢結果!$A$2:$E$19,4,0)</f>
        <v>174028</v>
      </c>
      <c r="D36" s="468">
        <f>VLOOKUP(A35,[16]進出口值表查詢結果!$A$2:$E$19,3,0)</f>
        <v>4631168</v>
      </c>
      <c r="F36" s="468">
        <f>VLOOKUP(A35,[17]進出口值表查詢結果!$A$2:$E$19,4,0)</f>
        <v>836475</v>
      </c>
      <c r="G36" s="468">
        <f>VLOOKUP(A35,[17]進出口值表查詢結果!$A$2:$E$19,3,0)</f>
        <v>20733376</v>
      </c>
      <c r="I36" s="468">
        <f>VLOOKUP(A35,[18]進出口值表查詢結果!$A$2:$E$19,4,0)</f>
        <v>27373</v>
      </c>
      <c r="J36" s="468">
        <f>VLOOKUP(A35,[18]進出口值表查詢結果!$A$2:$E$19,3,0)</f>
        <v>163706</v>
      </c>
      <c r="L36" s="468">
        <f>VLOOKUP(A35,[19]進出口值表查詢結果!$A$2:$E$19,4,0)</f>
        <v>102415</v>
      </c>
      <c r="M36" s="468">
        <f>VLOOKUP(A35,[19]進出口值表查詢結果!$A$2:$E$19,3,0)</f>
        <v>1077435</v>
      </c>
    </row>
    <row r="37" spans="1:13">
      <c r="A37" s="331">
        <v>87149620002</v>
      </c>
      <c r="B37" s="472"/>
      <c r="C37" s="473"/>
      <c r="D37" s="469"/>
      <c r="E37" s="471"/>
      <c r="F37" s="473"/>
      <c r="G37" s="469"/>
      <c r="H37" s="471"/>
      <c r="I37" s="470"/>
      <c r="J37" s="469"/>
      <c r="K37" s="471"/>
      <c r="L37" s="470"/>
      <c r="M37" s="469"/>
    </row>
    <row r="38" spans="1:13">
      <c r="A38" s="328" t="s">
        <v>82</v>
      </c>
      <c r="B38" s="318"/>
      <c r="C38" s="468">
        <f>VLOOKUP(A37,[16]進出口值表查詢結果!$A$2:$E$19,4,0)</f>
        <v>178135</v>
      </c>
      <c r="D38" s="468">
        <f>VLOOKUP(A37,[16]進出口值表查詢結果!$A$2:$E$19,3,0)</f>
        <v>8874610</v>
      </c>
      <c r="F38" s="468">
        <f>VLOOKUP(A37,[17]進出口值表查詢結果!$A$2:$E$19,4,0)</f>
        <v>720256</v>
      </c>
      <c r="G38" s="468">
        <f>VLOOKUP(A37,[17]進出口值表查詢結果!$A$2:$E$19,3,0)</f>
        <v>36808411</v>
      </c>
      <c r="I38" s="468">
        <f>VLOOKUP(A37,[18]進出口值表查詢結果!$A$2:$E$19,4,0)</f>
        <v>94022</v>
      </c>
      <c r="J38" s="468">
        <f>VLOOKUP(A37,[18]進出口值表查詢結果!$A$2:$E$19,3,0)</f>
        <v>3120359</v>
      </c>
      <c r="L38" s="468">
        <f>VLOOKUP(A37,[19]進出口值表查詢結果!$A$2:$E$19,4,0)</f>
        <v>473808</v>
      </c>
      <c r="M38" s="468">
        <f>VLOOKUP(A37,[19]進出口值表查詢結果!$A$2:$E$19,3,0)</f>
        <v>14154716</v>
      </c>
    </row>
    <row r="39" spans="1:13">
      <c r="A39" s="328" t="s">
        <v>77</v>
      </c>
      <c r="B39" s="318"/>
      <c r="C39" s="468"/>
      <c r="D39" s="468"/>
      <c r="F39" s="468"/>
      <c r="G39" s="468"/>
      <c r="I39" s="468"/>
      <c r="J39" s="468"/>
      <c r="L39" s="468"/>
      <c r="M39" s="468"/>
    </row>
    <row r="40" spans="1:13">
      <c r="A40" s="331">
        <v>73151100209</v>
      </c>
      <c r="B40" s="472"/>
      <c r="C40" s="550"/>
      <c r="D40" s="476"/>
      <c r="E40" s="471"/>
      <c r="F40" s="470"/>
      <c r="G40" s="469"/>
      <c r="H40" s="471"/>
      <c r="I40" s="470"/>
      <c r="J40" s="469"/>
      <c r="K40" s="471"/>
      <c r="L40" s="470"/>
      <c r="M40" s="469"/>
    </row>
    <row r="41" spans="1:13">
      <c r="A41" s="328" t="s">
        <v>83</v>
      </c>
      <c r="B41" s="318"/>
      <c r="C41" s="468">
        <v>142625</v>
      </c>
      <c r="D41" s="468">
        <v>3920497</v>
      </c>
      <c r="F41" s="468">
        <v>579433</v>
      </c>
      <c r="G41" s="468">
        <v>15087747</v>
      </c>
      <c r="I41" s="468">
        <v>133563</v>
      </c>
      <c r="J41" s="468">
        <v>1745452</v>
      </c>
      <c r="L41" s="468">
        <v>370863</v>
      </c>
      <c r="M41" s="468">
        <v>4678715</v>
      </c>
    </row>
    <row r="42" spans="1:13">
      <c r="A42" s="328" t="s">
        <v>84</v>
      </c>
      <c r="B42" s="318"/>
      <c r="C42" s="468"/>
      <c r="D42" s="467"/>
      <c r="F42" s="468"/>
      <c r="G42" s="467"/>
      <c r="I42" s="468"/>
      <c r="J42" s="467"/>
      <c r="L42" s="468"/>
      <c r="M42" s="467"/>
    </row>
    <row r="43" spans="1:13">
      <c r="A43" s="331">
        <v>87149990111</v>
      </c>
      <c r="B43" s="472"/>
      <c r="C43" s="473"/>
      <c r="D43" s="469"/>
      <c r="E43" s="471"/>
      <c r="F43" s="473"/>
      <c r="G43" s="469"/>
      <c r="H43" s="471"/>
      <c r="I43" s="470"/>
      <c r="J43" s="469"/>
      <c r="K43" s="471"/>
      <c r="L43" s="470"/>
      <c r="M43" s="469"/>
    </row>
    <row r="44" spans="1:13">
      <c r="A44" s="332" t="s">
        <v>85</v>
      </c>
      <c r="B44" s="320"/>
      <c r="C44" s="468">
        <f>VLOOKUP(A43,[16]進出口值表查詢結果!$A$2:$E$19,4,0)</f>
        <v>104308</v>
      </c>
      <c r="D44" s="468">
        <f>VLOOKUP(A43,[16]進出口值表查詢結果!$A$2:$E$19,3,0)</f>
        <v>11644256</v>
      </c>
      <c r="F44" s="468">
        <f>VLOOKUP(A43,[17]進出口值表查詢結果!$A$2:$E$19,4,0)</f>
        <v>422337</v>
      </c>
      <c r="G44" s="468">
        <f>VLOOKUP(A43,[17]進出口值表查詢結果!$A$2:$E$19,3,0)</f>
        <v>45396336</v>
      </c>
      <c r="I44" s="468">
        <f>VLOOKUP(A43,[18]進出口值表查詢結果!$A$2:$E$19,4,0)</f>
        <v>52812</v>
      </c>
      <c r="J44" s="468">
        <f>VLOOKUP(A43,[18]進出口值表查詢結果!$A$2:$E$19,3,0)</f>
        <v>5918319</v>
      </c>
      <c r="L44" s="468">
        <f>VLOOKUP(A43,[19]進出口值表查詢結果!$A$2:$E$19,4,0)</f>
        <v>210752</v>
      </c>
      <c r="M44" s="468">
        <f>VLOOKUP(A43,[19]進出口值表查詢結果!$A$2:$E$19,3,0)</f>
        <v>20590251</v>
      </c>
    </row>
    <row r="45" spans="1:13">
      <c r="A45" s="328" t="s">
        <v>86</v>
      </c>
      <c r="B45" s="318"/>
      <c r="C45" s="468"/>
      <c r="D45" s="467"/>
      <c r="F45" s="468"/>
      <c r="G45" s="467"/>
      <c r="I45" s="468"/>
      <c r="J45" s="467"/>
      <c r="L45" s="468"/>
      <c r="M45" s="467"/>
    </row>
    <row r="46" spans="1:13">
      <c r="A46" s="331">
        <v>87149320906</v>
      </c>
      <c r="B46" s="472"/>
      <c r="C46" s="473"/>
      <c r="D46" s="469"/>
      <c r="E46" s="471"/>
      <c r="F46" s="473"/>
      <c r="G46" s="469"/>
      <c r="H46" s="471"/>
      <c r="I46" s="470"/>
      <c r="J46" s="469"/>
      <c r="K46" s="471"/>
      <c r="L46" s="470"/>
      <c r="M46" s="469"/>
    </row>
    <row r="47" spans="1:13">
      <c r="A47" s="328" t="s">
        <v>407</v>
      </c>
      <c r="B47" s="318"/>
      <c r="C47" s="468">
        <f>VLOOKUP(A46,[16]進出口值表查詢結果!$A$2:$E$19,4,0)</f>
        <v>229300</v>
      </c>
      <c r="D47" s="468">
        <f>VLOOKUP(A46,[16]進出口值表查詢結果!$A$2:$E$19,3,0)</f>
        <v>11676814</v>
      </c>
      <c r="F47" s="468">
        <f>VLOOKUP(A46,[17]進出口值表查詢結果!$A$2:$E$19,4,0)</f>
        <v>975431</v>
      </c>
      <c r="G47" s="468">
        <f>VLOOKUP(A46,[17]進出口值表查詢結果!$A$2:$E$19,3,0)</f>
        <v>48834291</v>
      </c>
      <c r="I47" s="468">
        <f>VLOOKUP(A46,[18]進出口值表查詢結果!$A$2:$E$19,4,0)</f>
        <v>42551</v>
      </c>
      <c r="J47" s="468">
        <f>VLOOKUP(A46,[18]進出口值表查詢結果!$A$2:$E$19,3,0)</f>
        <v>1223252</v>
      </c>
      <c r="L47" s="468">
        <f>VLOOKUP(A46,[19]進出口值表查詢結果!$A$2:$E$19,4,0)</f>
        <v>191041</v>
      </c>
      <c r="M47" s="468">
        <f>VLOOKUP(A46,[19]進出口值表查詢結果!$A$2:$E$19,3,0)</f>
        <v>6053986</v>
      </c>
    </row>
    <row r="48" spans="1:13">
      <c r="A48" s="331">
        <v>87149990139</v>
      </c>
      <c r="B48" s="472"/>
      <c r="C48" s="473"/>
      <c r="D48" s="469"/>
      <c r="E48" s="471"/>
      <c r="F48" s="473"/>
      <c r="G48" s="469"/>
      <c r="H48" s="471"/>
      <c r="I48" s="470"/>
      <c r="J48" s="469"/>
      <c r="K48" s="471"/>
      <c r="L48" s="470"/>
      <c r="M48" s="469"/>
    </row>
    <row r="49" spans="1:13">
      <c r="A49" s="328" t="s">
        <v>87</v>
      </c>
      <c r="B49" s="318"/>
      <c r="C49" s="468">
        <f>VLOOKUP(A48,[16]進出口值表查詢結果!$A$2:$E$19,4,0)</f>
        <v>17839</v>
      </c>
      <c r="D49" s="468">
        <f>VLOOKUP(A48,[16]進出口值表查詢結果!$A$2:$E$19,3,0)</f>
        <v>295727</v>
      </c>
      <c r="F49" s="468">
        <f>VLOOKUP(A48,[17]進出口值表查詢結果!$A$2:$E$19,4,0)</f>
        <v>50004</v>
      </c>
      <c r="G49" s="468">
        <f>VLOOKUP(A48,[17]進出口值表查詢結果!$A$2:$E$19,3,0)</f>
        <v>1015294</v>
      </c>
      <c r="I49" s="468">
        <f>VLOOKUP(A48,[18]進出口值表查詢結果!$A$2:$E$19,4,0)</f>
        <v>10457</v>
      </c>
      <c r="J49" s="468">
        <f>VLOOKUP(A48,[18]進出口值表查詢結果!$A$2:$E$19,3,0)</f>
        <v>135905</v>
      </c>
      <c r="L49" s="468">
        <f>VLOOKUP(A48,[19]進出口值表查詢結果!$A$2:$E$19,4,0)</f>
        <v>41492</v>
      </c>
      <c r="M49" s="468">
        <f>VLOOKUP(A48,[19]進出口值表查詢結果!$A$2:$E$19,3,0)</f>
        <v>587037</v>
      </c>
    </row>
    <row r="50" spans="1:13">
      <c r="A50" s="331">
        <v>87149990148</v>
      </c>
      <c r="B50" s="472"/>
      <c r="C50" s="473"/>
      <c r="D50" s="469"/>
      <c r="E50" s="471"/>
      <c r="F50" s="473"/>
      <c r="G50" s="469"/>
      <c r="H50" s="471"/>
      <c r="I50" s="470"/>
      <c r="J50" s="469"/>
      <c r="K50" s="471"/>
      <c r="L50" s="470"/>
      <c r="M50" s="469"/>
    </row>
    <row r="51" spans="1:13">
      <c r="A51" s="333" t="s">
        <v>88</v>
      </c>
      <c r="B51" s="475"/>
      <c r="C51" s="468">
        <f>VLOOKUP(A50,[16]進出口值表查詢結果!$A$2:$E$19,4,0)</f>
        <v>67868</v>
      </c>
      <c r="D51" s="468">
        <f>VLOOKUP(A50,[16]進出口值表查詢結果!$A$2:$E$19,3,0)</f>
        <v>2625094</v>
      </c>
      <c r="F51" s="468">
        <f>VLOOKUP(A50,[17]進出口值表查詢結果!$A$2:$E$19,4,0)</f>
        <v>295357</v>
      </c>
      <c r="G51" s="468">
        <f>VLOOKUP(A50,[17]進出口值表查詢結果!$A$2:$E$19,3,0)</f>
        <v>11618810</v>
      </c>
      <c r="I51" s="468">
        <f>VLOOKUP(A50,[18]進出口值表查詢結果!$A$2:$E$19,4,0)</f>
        <v>9715</v>
      </c>
      <c r="J51" s="468">
        <f>VLOOKUP(A50,[18]進出口值表查詢結果!$A$2:$E$19,3,0)</f>
        <v>301690</v>
      </c>
      <c r="L51" s="468">
        <f>VLOOKUP(A50,[19]進出口值表查詢結果!$A$2:$E$19,4,0)</f>
        <v>71368</v>
      </c>
      <c r="M51" s="468">
        <f>VLOOKUP(A50,[19]進出口值表查詢結果!$A$2:$E$19,3,0)</f>
        <v>1760648</v>
      </c>
    </row>
    <row r="52" spans="1:13">
      <c r="A52" s="328" t="s">
        <v>89</v>
      </c>
      <c r="B52" s="318"/>
      <c r="C52" s="468"/>
      <c r="D52" s="467"/>
      <c r="F52" s="468"/>
      <c r="G52" s="467"/>
      <c r="I52" s="468"/>
      <c r="J52" s="474"/>
      <c r="L52" s="468"/>
      <c r="M52" s="467"/>
    </row>
    <row r="53" spans="1:13">
      <c r="A53" s="331">
        <v>87149990157</v>
      </c>
      <c r="B53" s="472"/>
      <c r="C53" s="473"/>
      <c r="D53" s="469"/>
      <c r="E53" s="471"/>
      <c r="F53" s="473"/>
      <c r="G53" s="469"/>
      <c r="H53" s="471"/>
      <c r="I53" s="470"/>
      <c r="J53" s="469"/>
      <c r="K53" s="471"/>
      <c r="L53" s="470"/>
      <c r="M53" s="469"/>
    </row>
    <row r="54" spans="1:13">
      <c r="A54" s="328" t="s">
        <v>90</v>
      </c>
      <c r="B54" s="318"/>
      <c r="C54" s="468">
        <f>VLOOKUP(A53,[16]進出口值表查詢結果!$A$2:$E$19,4,0)</f>
        <v>141485</v>
      </c>
      <c r="D54" s="468">
        <f>VLOOKUP(A53,[16]進出口值表查詢結果!$A$2:$E$19,3,0)</f>
        <v>6881939</v>
      </c>
      <c r="F54" s="468">
        <f>VLOOKUP(A53,[17]進出口值表查詢結果!$A$2:$E$19,4,0)</f>
        <v>600878</v>
      </c>
      <c r="G54" s="468">
        <f>VLOOKUP(A53,[17]進出口值表查詢結果!$A$2:$E$19,3,0)</f>
        <v>27505637</v>
      </c>
      <c r="I54" s="468">
        <f>VLOOKUP(A53,[18]進出口值表查詢結果!$A$2:$E$19,4,0)</f>
        <v>26276</v>
      </c>
      <c r="J54" s="468">
        <f>VLOOKUP(A53,[18]進出口值表查詢結果!$A$2:$E$19,3,0)</f>
        <v>1017072</v>
      </c>
      <c r="L54" s="468">
        <f>VLOOKUP(A53,[19]進出口值表查詢結果!$A$2:$E$19,4,0)</f>
        <v>153651</v>
      </c>
      <c r="M54" s="468">
        <f>VLOOKUP(A53,[19]進出口值表查詢結果!$A$2:$E$19,3,0)</f>
        <v>4388184</v>
      </c>
    </row>
    <row r="55" spans="1:13">
      <c r="A55" s="328" t="s">
        <v>91</v>
      </c>
      <c r="B55" s="318"/>
      <c r="C55" s="468"/>
      <c r="D55" s="467"/>
      <c r="F55" s="468"/>
      <c r="G55" s="467"/>
      <c r="I55" s="468"/>
      <c r="J55" s="468"/>
      <c r="L55" s="468"/>
      <c r="M55" s="467"/>
    </row>
    <row r="56" spans="1:13">
      <c r="A56" s="331">
        <v>87149990166</v>
      </c>
      <c r="B56" s="472"/>
      <c r="C56" s="473"/>
      <c r="D56" s="469"/>
      <c r="E56" s="471"/>
      <c r="F56" s="473"/>
      <c r="G56" s="469"/>
      <c r="H56" s="471"/>
      <c r="I56" s="470"/>
      <c r="J56" s="470"/>
      <c r="K56" s="471"/>
      <c r="L56" s="470"/>
      <c r="M56" s="469"/>
    </row>
    <row r="57" spans="1:13">
      <c r="A57" s="328" t="s">
        <v>88</v>
      </c>
      <c r="B57" s="318"/>
      <c r="C57" s="468">
        <f>VLOOKUP(A56,[16]進出口值表查詢結果!$A$2:$E$19,4,0)</f>
        <v>122765</v>
      </c>
      <c r="D57" s="468">
        <f>VLOOKUP(A56,[16]進出口值表查詢結果!$A$2:$E$19,3,0)</f>
        <v>4019726</v>
      </c>
      <c r="F57" s="468">
        <f>VLOOKUP(A56,[17]進出口值表查詢結果!$A$2:$E$19,4,0)</f>
        <v>566464</v>
      </c>
      <c r="G57" s="468">
        <f>VLOOKUP(A56,[17]進出口值表查詢結果!$A$2:$E$19,3,0)</f>
        <v>19167619</v>
      </c>
      <c r="I57" s="468">
        <f>VLOOKUP(A56,[18]進出口值表查詢結果!$A$2:$E$19,4,0)</f>
        <v>45805</v>
      </c>
      <c r="J57" s="468">
        <f>VLOOKUP(A56,[18]進出口值表查詢結果!$A$2:$E$19,3,0)</f>
        <v>1916038</v>
      </c>
      <c r="L57" s="468">
        <f>VLOOKUP(A56,[19]進出口值表查詢結果!$A$2:$E$19,4,0)</f>
        <v>171698</v>
      </c>
      <c r="M57" s="468">
        <f>VLOOKUP(A56,[19]進出口值表查詢結果!$A$2:$E$19,3,0)</f>
        <v>7724404</v>
      </c>
    </row>
    <row r="58" spans="1:13">
      <c r="A58" s="331">
        <v>40115000008</v>
      </c>
      <c r="B58" s="472"/>
      <c r="C58" s="470"/>
      <c r="D58" s="470"/>
      <c r="E58" s="471"/>
      <c r="F58" s="470"/>
      <c r="G58" s="470"/>
      <c r="H58" s="471"/>
      <c r="I58" s="470"/>
      <c r="J58" s="470"/>
      <c r="K58" s="471"/>
      <c r="L58" s="470"/>
      <c r="M58" s="469"/>
    </row>
    <row r="59" spans="1:13">
      <c r="A59" s="328" t="s">
        <v>92</v>
      </c>
      <c r="B59" s="318"/>
      <c r="C59" s="468">
        <v>436955</v>
      </c>
      <c r="D59" s="468">
        <v>8172632</v>
      </c>
      <c r="F59" s="468">
        <v>1844658</v>
      </c>
      <c r="G59" s="468">
        <v>33862924</v>
      </c>
      <c r="I59" s="468">
        <v>134392</v>
      </c>
      <c r="J59" s="468">
        <v>1531145</v>
      </c>
      <c r="L59" s="468">
        <v>873645</v>
      </c>
      <c r="M59" s="468">
        <v>8697689</v>
      </c>
    </row>
    <row r="60" spans="1:13">
      <c r="A60" s="328" t="s">
        <v>93</v>
      </c>
      <c r="B60" s="318" t="s">
        <v>66</v>
      </c>
      <c r="C60" s="468">
        <v>591853</v>
      </c>
      <c r="D60" s="467" t="s">
        <v>69</v>
      </c>
      <c r="E60" s="13" t="s">
        <v>66</v>
      </c>
      <c r="F60" s="468">
        <v>2469014</v>
      </c>
      <c r="G60" s="467" t="s">
        <v>69</v>
      </c>
      <c r="H60" s="13" t="s">
        <v>66</v>
      </c>
      <c r="I60" s="468">
        <v>190731</v>
      </c>
      <c r="J60" s="467" t="s">
        <v>69</v>
      </c>
      <c r="K60" s="321" t="s">
        <v>66</v>
      </c>
      <c r="L60" s="468">
        <v>1204709</v>
      </c>
      <c r="M60" s="467" t="s">
        <v>69</v>
      </c>
    </row>
    <row r="61" spans="1:13">
      <c r="A61" s="331">
        <v>40132000003</v>
      </c>
      <c r="B61" s="472"/>
      <c r="C61" s="470"/>
      <c r="D61" s="470"/>
      <c r="E61" s="471"/>
      <c r="F61" s="470"/>
      <c r="G61" s="470"/>
      <c r="H61" s="471"/>
      <c r="I61" s="470"/>
      <c r="J61" s="470"/>
      <c r="K61" s="471"/>
      <c r="L61" s="470"/>
      <c r="M61" s="469"/>
    </row>
    <row r="62" spans="1:13">
      <c r="A62" s="328" t="s">
        <v>94</v>
      </c>
      <c r="B62" s="318"/>
      <c r="C62" s="468">
        <v>55122</v>
      </c>
      <c r="D62" s="468">
        <v>560679</v>
      </c>
      <c r="F62" s="468">
        <v>219611</v>
      </c>
      <c r="G62" s="468">
        <v>2370753</v>
      </c>
      <c r="I62" s="468">
        <v>33918</v>
      </c>
      <c r="J62" s="468">
        <v>228470</v>
      </c>
      <c r="L62" s="468">
        <v>153047</v>
      </c>
      <c r="M62" s="468">
        <v>981633</v>
      </c>
    </row>
    <row r="63" spans="1:13">
      <c r="A63" s="328" t="s">
        <v>95</v>
      </c>
      <c r="B63" s="318" t="s">
        <v>66</v>
      </c>
      <c r="C63" s="468">
        <v>298040</v>
      </c>
      <c r="D63" s="467" t="s">
        <v>69</v>
      </c>
      <c r="E63" s="13" t="s">
        <v>66</v>
      </c>
      <c r="F63" s="468">
        <v>1232829</v>
      </c>
      <c r="G63" s="467" t="s">
        <v>69</v>
      </c>
      <c r="H63" s="13" t="s">
        <v>66</v>
      </c>
      <c r="I63" s="468">
        <v>184725</v>
      </c>
      <c r="J63" s="467" t="s">
        <v>69</v>
      </c>
      <c r="K63" s="321" t="s">
        <v>66</v>
      </c>
      <c r="L63" s="468">
        <v>754240</v>
      </c>
      <c r="M63" s="467" t="s">
        <v>69</v>
      </c>
    </row>
    <row r="64" spans="1:13">
      <c r="A64" s="328"/>
      <c r="B64" s="318"/>
      <c r="D64" s="329"/>
      <c r="G64" s="329"/>
      <c r="J64" s="329"/>
      <c r="M64" s="329"/>
    </row>
    <row r="65" spans="1:13">
      <c r="A65" s="322" t="s">
        <v>96</v>
      </c>
      <c r="B65" s="334"/>
      <c r="C65" s="335">
        <f>SUM(C4:C64)-C63-C60-C18-C15-C9-C6-C12</f>
        <v>3426038</v>
      </c>
      <c r="D65" s="336">
        <f>SUM(D4:D64)</f>
        <v>162069116</v>
      </c>
      <c r="E65" s="335"/>
      <c r="F65" s="335">
        <f>SUM(F4:F64)-F63-F60-F18-F15-F9-F6-F12</f>
        <v>15508127</v>
      </c>
      <c r="G65" s="336">
        <f>SUM(G5:G64)</f>
        <v>729280568</v>
      </c>
      <c r="H65" s="335"/>
      <c r="I65" s="335">
        <f>SUM(I4:I64)-I63-I60-I18-I15-I9-I6</f>
        <v>1570766</v>
      </c>
      <c r="J65" s="336">
        <f>SUM(J4:J64)</f>
        <v>76472625</v>
      </c>
      <c r="K65" s="335"/>
      <c r="L65" s="335">
        <f>SUM(L4:L64)-L63-L60-L18-L15-L9-L6</f>
        <v>7227911</v>
      </c>
      <c r="M65" s="336">
        <f>SUM(M4:M64)</f>
        <v>312781123</v>
      </c>
    </row>
    <row r="66" spans="1:13">
      <c r="G66" s="5"/>
    </row>
    <row r="67" spans="1:13">
      <c r="A67" s="55" t="s">
        <v>32</v>
      </c>
      <c r="B67" s="55"/>
    </row>
  </sheetData>
  <phoneticPr fontId="3" type="noConversion"/>
  <pageMargins left="0.23622047244094491" right="0.11811023622047245" top="0.35433070866141736" bottom="0.15748031496062992" header="0.31496062992125984" footer="0.31496062992125984"/>
  <pageSetup paperSize="9" scale="61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7"/>
  <sheetViews>
    <sheetView zoomScaleNormal="100" workbookViewId="0">
      <selection activeCell="E69" sqref="E69"/>
    </sheetView>
  </sheetViews>
  <sheetFormatPr defaultColWidth="10" defaultRowHeight="16.5"/>
  <cols>
    <col min="1" max="1" width="22.375" style="13" customWidth="1"/>
    <col min="2" max="2" width="16.625" style="321" customWidth="1"/>
    <col min="3" max="3" width="17.25" style="364" customWidth="1"/>
    <col min="4" max="4" width="15.75" style="365" customWidth="1"/>
    <col min="5" max="5" width="16.75" style="321" customWidth="1"/>
    <col min="6" max="6" width="16.875" style="364" customWidth="1"/>
    <col min="7" max="7" width="14.875" style="365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8" customFormat="1" ht="21">
      <c r="A1" s="337" t="s">
        <v>503</v>
      </c>
      <c r="B1" s="338"/>
      <c r="C1" s="339"/>
      <c r="D1" s="340"/>
      <c r="E1" s="338"/>
      <c r="F1" s="339"/>
      <c r="G1" s="340"/>
    </row>
    <row r="2" spans="1:7" s="318" customFormat="1">
      <c r="B2" s="319"/>
      <c r="C2" s="341"/>
      <c r="D2" s="342"/>
      <c r="E2" s="319"/>
      <c r="F2" s="341"/>
      <c r="G2" s="342"/>
    </row>
    <row r="3" spans="1:7" s="318" customFormat="1">
      <c r="A3" s="320"/>
      <c r="B3" s="319"/>
      <c r="C3" s="341"/>
      <c r="D3" s="342"/>
      <c r="E3" s="319"/>
      <c r="F3" s="341"/>
      <c r="G3" s="342"/>
    </row>
    <row r="4" spans="1:7">
      <c r="A4" s="42" t="s">
        <v>97</v>
      </c>
      <c r="B4" s="526" t="s">
        <v>421</v>
      </c>
      <c r="C4" s="71" t="s">
        <v>422</v>
      </c>
      <c r="D4" s="343" t="s">
        <v>37</v>
      </c>
      <c r="E4" s="73" t="s">
        <v>421</v>
      </c>
      <c r="F4" s="71" t="s">
        <v>422</v>
      </c>
      <c r="G4" s="203" t="s">
        <v>37</v>
      </c>
    </row>
    <row r="5" spans="1:7" s="318" customFormat="1" ht="18" customHeight="1">
      <c r="A5" s="46"/>
      <c r="B5" s="77" t="s">
        <v>98</v>
      </c>
      <c r="C5" s="76" t="s">
        <v>98</v>
      </c>
      <c r="D5" s="204" t="s">
        <v>2</v>
      </c>
      <c r="E5" s="77" t="s">
        <v>34</v>
      </c>
      <c r="F5" s="76" t="s">
        <v>99</v>
      </c>
      <c r="G5" s="204" t="s">
        <v>2</v>
      </c>
    </row>
    <row r="6" spans="1:7">
      <c r="A6" s="344">
        <v>85121010001</v>
      </c>
      <c r="B6" s="345"/>
      <c r="C6" s="346"/>
      <c r="D6" s="347"/>
      <c r="E6" s="345"/>
      <c r="F6" s="346"/>
      <c r="G6" s="348"/>
    </row>
    <row r="7" spans="1:7">
      <c r="A7" s="328" t="s">
        <v>64</v>
      </c>
      <c r="B7" s="349">
        <f>零件!F5</f>
        <v>31306</v>
      </c>
      <c r="C7" s="350">
        <v>77928</v>
      </c>
      <c r="D7" s="513">
        <f>(B7-C7)/C7</f>
        <v>-0.59827019813160864</v>
      </c>
      <c r="E7" s="349">
        <f>零件!G5</f>
        <v>3585327</v>
      </c>
      <c r="F7" s="350">
        <v>9610452</v>
      </c>
      <c r="G7" s="513">
        <f>(E7-F7)/F7</f>
        <v>-0.62693461244070514</v>
      </c>
    </row>
    <row r="8" spans="1:7">
      <c r="A8" s="328" t="s">
        <v>65</v>
      </c>
      <c r="B8" s="349"/>
      <c r="C8" s="353"/>
      <c r="D8" s="352"/>
      <c r="E8" s="353"/>
      <c r="F8" s="350"/>
      <c r="G8" s="353"/>
    </row>
    <row r="9" spans="1:7">
      <c r="A9" s="330">
        <v>85121020009</v>
      </c>
      <c r="B9" s="354"/>
      <c r="C9" s="354"/>
      <c r="D9" s="355"/>
      <c r="E9" s="354"/>
      <c r="F9" s="354"/>
      <c r="G9" s="354"/>
    </row>
    <row r="10" spans="1:7">
      <c r="A10" s="328" t="s">
        <v>67</v>
      </c>
      <c r="B10" s="349">
        <f>零件!F8</f>
        <v>16695</v>
      </c>
      <c r="C10" s="350">
        <v>28809</v>
      </c>
      <c r="D10" s="514">
        <f>(B10-C10)/C10</f>
        <v>-0.42049359575132772</v>
      </c>
      <c r="E10" s="349">
        <f>零件!G8</f>
        <v>3105893</v>
      </c>
      <c r="F10" s="350">
        <v>4345705</v>
      </c>
      <c r="G10" s="514">
        <f>(E10-F10)/F10</f>
        <v>-0.28529594162512184</v>
      </c>
    </row>
    <row r="11" spans="1:7">
      <c r="A11" s="328" t="s">
        <v>68</v>
      </c>
      <c r="B11" s="349"/>
      <c r="C11" s="353"/>
      <c r="D11" s="356"/>
      <c r="E11" s="353"/>
      <c r="F11" s="350"/>
      <c r="G11" s="353"/>
    </row>
    <row r="12" spans="1:7">
      <c r="A12" s="331">
        <v>87149120007</v>
      </c>
      <c r="B12" s="354"/>
      <c r="C12" s="354"/>
      <c r="D12" s="358"/>
      <c r="E12" s="359"/>
      <c r="F12" s="354"/>
      <c r="G12" s="359"/>
    </row>
    <row r="13" spans="1:7">
      <c r="A13" s="328" t="s">
        <v>70</v>
      </c>
      <c r="B13" s="349">
        <f>零件!F11</f>
        <v>4577162</v>
      </c>
      <c r="C13" s="350">
        <f>VLOOKUP(A12,[22]進出口值表查詢結果!$A$1:$E$20,4,0)</f>
        <v>6677890</v>
      </c>
      <c r="D13" s="513">
        <f>(B13-C13)/C13</f>
        <v>-0.31457960523458756</v>
      </c>
      <c r="E13" s="349">
        <f>零件!G11</f>
        <v>290250255</v>
      </c>
      <c r="F13" s="350">
        <f>VLOOKUP(A12,[22]進出口值表查詢結果!$A$1:$E$20,3,0)</f>
        <v>359166345</v>
      </c>
      <c r="G13" s="514">
        <f>(E13-F13)/F13</f>
        <v>-0.19187791662384179</v>
      </c>
    </row>
    <row r="14" spans="1:7">
      <c r="A14" s="328" t="s">
        <v>71</v>
      </c>
      <c r="B14" s="356"/>
      <c r="C14" s="351"/>
      <c r="D14" s="349"/>
      <c r="E14" s="353"/>
      <c r="F14" s="350"/>
      <c r="G14" s="353"/>
    </row>
    <row r="15" spans="1:7">
      <c r="A15" s="331">
        <v>87149200108</v>
      </c>
      <c r="B15" s="354"/>
      <c r="C15" s="357"/>
      <c r="D15" s="358"/>
      <c r="E15" s="359"/>
      <c r="F15" s="360"/>
      <c r="G15" s="359"/>
    </row>
    <row r="16" spans="1:7">
      <c r="A16" s="328" t="s">
        <v>72</v>
      </c>
      <c r="B16" s="349">
        <f>零件!F14</f>
        <v>605430</v>
      </c>
      <c r="C16" s="350">
        <f>VLOOKUP(A15,[22]進出口值表查詢結果!$A$1:$E$20,4,0)</f>
        <v>918422</v>
      </c>
      <c r="D16" s="514">
        <f>(B16-C16)/C16</f>
        <v>-0.3407932301273271</v>
      </c>
      <c r="E16" s="349">
        <f>零件!G14</f>
        <v>12823972</v>
      </c>
      <c r="F16" s="350">
        <f>VLOOKUP(A15,[22]進出口值表查詢結果!$A$1:$E$20,3,0)</f>
        <v>18252749</v>
      </c>
      <c r="G16" s="513">
        <f>(E16-F16)/F16</f>
        <v>-0.29742243209502306</v>
      </c>
    </row>
    <row r="17" spans="1:7">
      <c r="A17" s="328"/>
      <c r="B17" s="349"/>
      <c r="C17" s="351"/>
      <c r="D17" s="349"/>
      <c r="E17" s="353"/>
      <c r="F17" s="350"/>
      <c r="G17" s="353"/>
    </row>
    <row r="18" spans="1:7">
      <c r="A18" s="331">
        <v>87149200206</v>
      </c>
      <c r="B18" s="354"/>
      <c r="C18" s="357"/>
      <c r="D18" s="358"/>
      <c r="E18" s="359"/>
      <c r="F18" s="360"/>
      <c r="G18" s="359"/>
    </row>
    <row r="19" spans="1:7">
      <c r="A19" s="328" t="s">
        <v>58</v>
      </c>
      <c r="B19" s="349">
        <f>零件!F17</f>
        <v>275094</v>
      </c>
      <c r="C19" s="350">
        <f>VLOOKUP(A18,[22]進出口值表查詢結果!$A$1:$E$20,4,0)</f>
        <v>784659</v>
      </c>
      <c r="D19" s="514">
        <f>(B19-C19)/C19</f>
        <v>-0.64940948870783355</v>
      </c>
      <c r="E19" s="349">
        <f>零件!G17</f>
        <v>3415874</v>
      </c>
      <c r="F19" s="350">
        <f>VLOOKUP(A18,[22]進出口值表查詢結果!$A$1:$E$20,3,0)</f>
        <v>7788344</v>
      </c>
      <c r="G19" s="514">
        <f>(E19-F19)/F19</f>
        <v>-0.56141202802546986</v>
      </c>
    </row>
    <row r="20" spans="1:7">
      <c r="A20" s="328"/>
      <c r="B20" s="349"/>
      <c r="C20" s="351"/>
      <c r="D20" s="349"/>
      <c r="E20" s="353"/>
      <c r="F20" s="350"/>
      <c r="G20" s="353"/>
    </row>
    <row r="21" spans="1:7">
      <c r="A21" s="331">
        <v>87149200304</v>
      </c>
      <c r="B21" s="354"/>
      <c r="C21" s="357"/>
      <c r="D21" s="358"/>
      <c r="E21" s="359"/>
      <c r="F21" s="360"/>
      <c r="G21" s="359"/>
    </row>
    <row r="22" spans="1:7">
      <c r="A22" s="328" t="s">
        <v>59</v>
      </c>
      <c r="B22" s="349">
        <f>零件!F20</f>
        <v>316894</v>
      </c>
      <c r="C22" s="350">
        <f>VLOOKUP(A21,[22]進出口值表查詢結果!$A$1:$E$20,4,0)</f>
        <v>385617</v>
      </c>
      <c r="D22" s="513">
        <f>(B22-C22)/C22</f>
        <v>-0.17821569069828352</v>
      </c>
      <c r="E22" s="349">
        <f>零件!G20</f>
        <v>36097850</v>
      </c>
      <c r="F22" s="350">
        <f>VLOOKUP(A21,[22]進出口值表查詢結果!$A$1:$E$20,3,0)</f>
        <v>31803130</v>
      </c>
      <c r="G22" s="514">
        <f>(E22-F22)/F22</f>
        <v>0.13504079629898064</v>
      </c>
    </row>
    <row r="23" spans="1:7">
      <c r="A23" s="331">
        <v>87149310007</v>
      </c>
      <c r="B23" s="354"/>
      <c r="C23" s="357"/>
      <c r="D23" s="358"/>
      <c r="E23" s="359"/>
      <c r="F23" s="360"/>
      <c r="G23" s="359"/>
    </row>
    <row r="24" spans="1:7">
      <c r="A24" s="328" t="s">
        <v>73</v>
      </c>
      <c r="B24" s="349">
        <f>零件!F22</f>
        <v>378706</v>
      </c>
      <c r="C24" s="350">
        <f>VLOOKUP(A23,[22]進出口值表查詢結果!$A$1:$E$20,4,0)</f>
        <v>524312</v>
      </c>
      <c r="D24" s="514">
        <f>(B24-C24)/C24</f>
        <v>-0.27770869253421626</v>
      </c>
      <c r="E24" s="349">
        <f>零件!G22</f>
        <v>21001164</v>
      </c>
      <c r="F24" s="350">
        <f>VLOOKUP(A23,[22]進出口值表查詢結果!$A$1:$E$20,3,0)</f>
        <v>28976445</v>
      </c>
      <c r="G24" s="514">
        <f>(E24-F24)/F24</f>
        <v>-0.27523324548611811</v>
      </c>
    </row>
    <row r="25" spans="1:7">
      <c r="A25" s="328" t="s">
        <v>100</v>
      </c>
      <c r="B25" s="349"/>
      <c r="C25" s="351"/>
      <c r="D25" s="349"/>
      <c r="E25" s="353"/>
      <c r="F25" s="350"/>
      <c r="G25" s="353"/>
    </row>
    <row r="26" spans="1:7">
      <c r="A26" s="331">
        <v>87149320103</v>
      </c>
      <c r="B26" s="354"/>
      <c r="C26" s="357"/>
      <c r="D26" s="358"/>
      <c r="E26" s="359"/>
      <c r="F26" s="360"/>
      <c r="G26" s="359"/>
    </row>
    <row r="27" spans="1:7">
      <c r="A27" s="328" t="s">
        <v>406</v>
      </c>
      <c r="B27" s="349">
        <f>零件!F26</f>
        <v>9366</v>
      </c>
      <c r="C27" s="350">
        <f>VLOOKUP(A26,[22]進出口值表查詢結果!$A$1:$E$20,4,0)</f>
        <v>168</v>
      </c>
      <c r="D27" s="514">
        <v>0</v>
      </c>
      <c r="E27" s="349">
        <f>零件!G26</f>
        <v>353191</v>
      </c>
      <c r="F27" s="350">
        <f>VLOOKUP(A26,[22]進出口值表查詢結果!$A$1:$E$20,3,0)</f>
        <v>17077</v>
      </c>
      <c r="G27" s="514">
        <v>0</v>
      </c>
    </row>
    <row r="28" spans="1:7">
      <c r="A28" s="331">
        <v>87149410006</v>
      </c>
      <c r="B28" s="354"/>
      <c r="C28" s="357"/>
      <c r="D28" s="358"/>
      <c r="E28" s="359"/>
      <c r="F28" s="360"/>
      <c r="G28" s="359"/>
    </row>
    <row r="29" spans="1:7">
      <c r="A29" s="328" t="s">
        <v>76</v>
      </c>
      <c r="B29" s="349">
        <f>零件!F28</f>
        <v>83328</v>
      </c>
      <c r="C29" s="350">
        <f>VLOOKUP(A28,[22]進出口值表查詢結果!$A$1:$E$20,4,0)</f>
        <v>130925</v>
      </c>
      <c r="D29" s="514">
        <f>(B29-C29)/C29</f>
        <v>-0.36354401374832918</v>
      </c>
      <c r="E29" s="349">
        <f>零件!G28</f>
        <v>2148899</v>
      </c>
      <c r="F29" s="350">
        <f>VLOOKUP(A28,[22]進出口值表查詢結果!$A$1:$E$20,3,0)</f>
        <v>3360042</v>
      </c>
      <c r="G29" s="513">
        <f>(E29-F29)/F29</f>
        <v>-0.36045472050646987</v>
      </c>
    </row>
    <row r="30" spans="1:7">
      <c r="A30" s="328" t="s">
        <v>77</v>
      </c>
      <c r="B30" s="349"/>
      <c r="C30" s="351"/>
      <c r="D30" s="349"/>
      <c r="E30" s="353"/>
      <c r="F30" s="350"/>
      <c r="G30" s="353"/>
    </row>
    <row r="31" spans="1:7">
      <c r="A31" s="331">
        <v>87149490009</v>
      </c>
      <c r="B31" s="354"/>
      <c r="C31" s="357"/>
      <c r="D31" s="358"/>
      <c r="E31" s="359"/>
      <c r="F31" s="360"/>
      <c r="G31" s="359"/>
    </row>
    <row r="32" spans="1:7">
      <c r="A32" s="328" t="s">
        <v>78</v>
      </c>
      <c r="B32" s="349">
        <f>零件!F31</f>
        <v>1599242</v>
      </c>
      <c r="C32" s="350">
        <f>VLOOKUP(A31,[22]進出口值表查詢結果!$A$1:$E$20,4,0)</f>
        <v>3762119</v>
      </c>
      <c r="D32" s="513">
        <f>(B32-C32)/C32</f>
        <v>-0.57490924662404352</v>
      </c>
      <c r="E32" s="349">
        <f>零件!G31</f>
        <v>80770056</v>
      </c>
      <c r="F32" s="350">
        <f>VLOOKUP(A31,[22]進出口值表查詢結果!$A$1:$E$20,3,0)</f>
        <v>149758123</v>
      </c>
      <c r="G32" s="514">
        <f>(E32-F32)/F32</f>
        <v>-0.4606632723354846</v>
      </c>
    </row>
    <row r="33" spans="1:7">
      <c r="A33" s="328" t="s">
        <v>79</v>
      </c>
      <c r="B33" s="349"/>
      <c r="C33" s="351"/>
      <c r="D33" s="349"/>
      <c r="E33" s="353"/>
      <c r="F33" s="350"/>
      <c r="G33" s="353"/>
    </row>
    <row r="34" spans="1:7">
      <c r="A34" s="331">
        <v>87149500007</v>
      </c>
      <c r="B34" s="358"/>
      <c r="C34" s="357"/>
      <c r="D34" s="358"/>
      <c r="E34" s="359"/>
      <c r="F34" s="360"/>
      <c r="G34" s="359"/>
    </row>
    <row r="35" spans="1:7">
      <c r="A35" s="328" t="s">
        <v>80</v>
      </c>
      <c r="B35" s="349">
        <f>零件!F34</f>
        <v>504000</v>
      </c>
      <c r="C35" s="350">
        <f>VLOOKUP(A34,[22]進出口值表查詢結果!$A$1:$E$20,4,0)</f>
        <v>982922</v>
      </c>
      <c r="D35" s="514">
        <f>(B35-C35)/C35</f>
        <v>-0.48724313831616345</v>
      </c>
      <c r="E35" s="349">
        <f>零件!G34</f>
        <v>13326889</v>
      </c>
      <c r="F35" s="350">
        <f>VLOOKUP(A34,[22]進出口值表查詢結果!$A$1:$E$20,3,0)</f>
        <v>20461823</v>
      </c>
      <c r="G35" s="514">
        <f>(E35-F35)/F35</f>
        <v>-0.34869493299790544</v>
      </c>
    </row>
    <row r="36" spans="1:7">
      <c r="A36" s="331">
        <v>87149610004</v>
      </c>
      <c r="B36" s="358"/>
      <c r="C36" s="357"/>
      <c r="D36" s="358"/>
      <c r="E36" s="359"/>
      <c r="F36" s="360"/>
      <c r="G36" s="359"/>
    </row>
    <row r="37" spans="1:7">
      <c r="A37" s="328" t="s">
        <v>81</v>
      </c>
      <c r="B37" s="349">
        <f>零件!F36</f>
        <v>836475</v>
      </c>
      <c r="C37" s="350">
        <f>VLOOKUP(A36,[22]進出口值表查詢結果!$A$1:$E$20,4,0)</f>
        <v>1625370</v>
      </c>
      <c r="D37" s="514">
        <f>(B37-C37)/C37</f>
        <v>-0.48536333265656434</v>
      </c>
      <c r="E37" s="349">
        <f>零件!G36</f>
        <v>20733376</v>
      </c>
      <c r="F37" s="350">
        <f>VLOOKUP(A36,[22]進出口值表查詢結果!$A$1:$E$20,3,0)</f>
        <v>36359860</v>
      </c>
      <c r="G37" s="514">
        <f>(E37-F37)/F37</f>
        <v>-0.42977294192001841</v>
      </c>
    </row>
    <row r="38" spans="1:7">
      <c r="A38" s="331">
        <v>87149620002</v>
      </c>
      <c r="B38" s="354"/>
      <c r="C38" s="357"/>
      <c r="D38" s="358"/>
      <c r="E38" s="359"/>
      <c r="F38" s="360"/>
      <c r="G38" s="359"/>
    </row>
    <row r="39" spans="1:7">
      <c r="A39" s="328" t="s">
        <v>82</v>
      </c>
      <c r="B39" s="349">
        <f>零件!F38</f>
        <v>720256</v>
      </c>
      <c r="C39" s="350">
        <f>VLOOKUP(A38,[22]進出口值表查詢結果!$A$1:$E$20,4,0)</f>
        <v>1554319</v>
      </c>
      <c r="D39" s="513">
        <f>(B39-C39)/C39</f>
        <v>-0.53660992370292071</v>
      </c>
      <c r="E39" s="349">
        <f>零件!G38</f>
        <v>36808411</v>
      </c>
      <c r="F39" s="350">
        <f>VLOOKUP(A38,[22]進出口值表查詢結果!$A$1:$E$20,3,0)</f>
        <v>59958462</v>
      </c>
      <c r="G39" s="513">
        <f>(E39-F39)/F39</f>
        <v>-0.38610148138889888</v>
      </c>
    </row>
    <row r="40" spans="1:7">
      <c r="A40" s="328" t="s">
        <v>77</v>
      </c>
      <c r="B40" s="349"/>
      <c r="C40" s="353"/>
      <c r="D40" s="349"/>
      <c r="E40" s="353"/>
      <c r="F40" s="350"/>
      <c r="G40" s="353"/>
    </row>
    <row r="41" spans="1:7">
      <c r="A41" s="331">
        <v>73151100209</v>
      </c>
      <c r="B41" s="354"/>
      <c r="C41" s="358"/>
      <c r="D41" s="358"/>
      <c r="E41" s="359"/>
      <c r="F41" s="359"/>
      <c r="G41" s="359"/>
    </row>
    <row r="42" spans="1:7">
      <c r="A42" s="328" t="s">
        <v>83</v>
      </c>
      <c r="B42" s="349">
        <f>零件!F41</f>
        <v>579433</v>
      </c>
      <c r="C42" s="350">
        <v>910648</v>
      </c>
      <c r="D42" s="514">
        <f>(B42-C42)/C42</f>
        <v>-0.36371353146330965</v>
      </c>
      <c r="E42" s="349">
        <f>零件!G41</f>
        <v>15087747</v>
      </c>
      <c r="F42" s="350">
        <v>18903459</v>
      </c>
      <c r="G42" s="514">
        <f>(E42-F42)/F42</f>
        <v>-0.20185258158308486</v>
      </c>
    </row>
    <row r="43" spans="1:7">
      <c r="A43" s="328" t="s">
        <v>84</v>
      </c>
      <c r="B43" s="349"/>
      <c r="C43" s="351"/>
      <c r="D43" s="349"/>
      <c r="E43" s="353"/>
      <c r="F43" s="350"/>
      <c r="G43" s="353"/>
    </row>
    <row r="44" spans="1:7">
      <c r="A44" s="331">
        <v>87149990111</v>
      </c>
      <c r="B44" s="354"/>
      <c r="C44" s="357"/>
      <c r="D44" s="358"/>
      <c r="E44" s="359"/>
      <c r="F44" s="360"/>
      <c r="G44" s="359"/>
    </row>
    <row r="45" spans="1:7">
      <c r="A45" s="332" t="s">
        <v>85</v>
      </c>
      <c r="B45" s="349">
        <f>零件!F44</f>
        <v>422337</v>
      </c>
      <c r="C45" s="350">
        <f>VLOOKUP(A44,[22]進出口值表查詢結果!$A$1:$E$20,4,0)</f>
        <v>725727</v>
      </c>
      <c r="D45" s="513">
        <f>(B45-C45)/C45</f>
        <v>-0.41804976251400322</v>
      </c>
      <c r="E45" s="349">
        <f>零件!G44</f>
        <v>45396336</v>
      </c>
      <c r="F45" s="350">
        <f>VLOOKUP(A44,[22]進出口值表查詢結果!$A$1:$E$20,3,0)</f>
        <v>55673571</v>
      </c>
      <c r="G45" s="513">
        <f>(E45-F45)/F45</f>
        <v>-0.18459809233361374</v>
      </c>
    </row>
    <row r="46" spans="1:7">
      <c r="A46" s="328" t="s">
        <v>86</v>
      </c>
      <c r="B46" s="349"/>
      <c r="C46" s="351"/>
      <c r="D46" s="349"/>
      <c r="E46" s="353"/>
      <c r="F46" s="350"/>
      <c r="G46" s="353"/>
    </row>
    <row r="47" spans="1:7">
      <c r="A47" s="331">
        <v>87149320906</v>
      </c>
      <c r="B47" s="354"/>
      <c r="C47" s="357"/>
      <c r="D47" s="358"/>
      <c r="E47" s="359"/>
      <c r="F47" s="360"/>
      <c r="G47" s="359"/>
    </row>
    <row r="48" spans="1:7">
      <c r="A48" s="328" t="s">
        <v>409</v>
      </c>
      <c r="B48" s="349">
        <f>零件!F47</f>
        <v>975431</v>
      </c>
      <c r="C48" s="350">
        <f>VLOOKUP(A47,[22]進出口值表查詢結果!$A$1:$E$20,4,0)</f>
        <v>115269</v>
      </c>
      <c r="D48" s="513">
        <v>0</v>
      </c>
      <c r="E48" s="349">
        <f>零件!G47</f>
        <v>48834291</v>
      </c>
      <c r="F48" s="350">
        <f>VLOOKUP(A47,[22]進出口值表查詢結果!$A$1:$E$20,3,0)</f>
        <v>3760115</v>
      </c>
      <c r="G48" s="513">
        <v>0</v>
      </c>
    </row>
    <row r="49" spans="1:7">
      <c r="A49" s="331">
        <v>87149990139</v>
      </c>
      <c r="B49" s="354"/>
      <c r="C49" s="357"/>
      <c r="D49" s="358"/>
      <c r="E49" s="359"/>
      <c r="F49" s="360"/>
      <c r="G49" s="359"/>
    </row>
    <row r="50" spans="1:7">
      <c r="A50" s="328" t="s">
        <v>87</v>
      </c>
      <c r="B50" s="349">
        <f>零件!F49</f>
        <v>50004</v>
      </c>
      <c r="C50" s="350">
        <f>VLOOKUP(A49,[22]進出口值表查詢結果!$A$1:$E$20,4,0)</f>
        <v>130697</v>
      </c>
      <c r="D50" s="514">
        <f>(B50-C50)/C50</f>
        <v>-0.61740514319379936</v>
      </c>
      <c r="E50" s="349">
        <f>零件!G49</f>
        <v>1015294</v>
      </c>
      <c r="F50" s="350">
        <f>VLOOKUP(A49,[22]進出口值表查詢結果!$A$1:$E$20,3,0)</f>
        <v>2613443</v>
      </c>
      <c r="G50" s="514">
        <f>(E50-F50)/F50</f>
        <v>-0.61151094552282181</v>
      </c>
    </row>
    <row r="51" spans="1:7">
      <c r="A51" s="331">
        <v>87149990148</v>
      </c>
      <c r="B51" s="354"/>
      <c r="C51" s="357"/>
      <c r="D51" s="358"/>
      <c r="E51" s="359"/>
      <c r="F51" s="360"/>
      <c r="G51" s="359"/>
    </row>
    <row r="52" spans="1:7">
      <c r="A52" s="333" t="s">
        <v>88</v>
      </c>
      <c r="B52" s="349">
        <f>零件!F51</f>
        <v>295357</v>
      </c>
      <c r="C52" s="350">
        <f>VLOOKUP(A51,[22]進出口值表查詢結果!$A$1:$E$20,4,0)</f>
        <v>538560</v>
      </c>
      <c r="D52" s="514">
        <f>(B52-C52)/C52</f>
        <v>-0.4515801396316102</v>
      </c>
      <c r="E52" s="349">
        <f>零件!G51</f>
        <v>11618810</v>
      </c>
      <c r="F52" s="350">
        <f>VLOOKUP(A51,[22]進出口值表查詢結果!$A$1:$E$20,3,0)</f>
        <v>16993548</v>
      </c>
      <c r="G52" s="514">
        <f>(E52-F52)/F52</f>
        <v>-0.31628109680215105</v>
      </c>
    </row>
    <row r="53" spans="1:7">
      <c r="A53" s="328" t="s">
        <v>89</v>
      </c>
      <c r="B53" s="349"/>
      <c r="C53" s="351"/>
      <c r="D53" s="349"/>
      <c r="E53" s="353"/>
      <c r="F53" s="350"/>
      <c r="G53" s="353"/>
    </row>
    <row r="54" spans="1:7">
      <c r="A54" s="331">
        <v>87149990157</v>
      </c>
      <c r="B54" s="354"/>
      <c r="C54" s="357"/>
      <c r="D54" s="358"/>
      <c r="E54" s="359"/>
      <c r="F54" s="360"/>
      <c r="G54" s="359"/>
    </row>
    <row r="55" spans="1:7">
      <c r="A55" s="328" t="s">
        <v>90</v>
      </c>
      <c r="B55" s="349">
        <f>零件!F54</f>
        <v>600878</v>
      </c>
      <c r="C55" s="350">
        <f>VLOOKUP(A54,[22]進出口值表查詢結果!$A$1:$E$20,4,0)</f>
        <v>850812</v>
      </c>
      <c r="D55" s="514">
        <f>(B55-C55)/C55</f>
        <v>-0.29375937339858865</v>
      </c>
      <c r="E55" s="349">
        <f>零件!G54</f>
        <v>27505637</v>
      </c>
      <c r="F55" s="350">
        <f>VLOOKUP(A54,[22]進出口值表查詢結果!$A$1:$E$20,3,0)</f>
        <v>35338899</v>
      </c>
      <c r="G55" s="514">
        <f>(E55-F55)/F55</f>
        <v>-0.22166117852171907</v>
      </c>
    </row>
    <row r="56" spans="1:7">
      <c r="A56" s="328" t="s">
        <v>91</v>
      </c>
      <c r="B56" s="349"/>
      <c r="C56" s="351"/>
      <c r="D56" s="349"/>
      <c r="E56" s="353"/>
      <c r="F56" s="350"/>
      <c r="G56" s="353"/>
    </row>
    <row r="57" spans="1:7">
      <c r="A57" s="331">
        <v>87149990166</v>
      </c>
      <c r="B57" s="354"/>
      <c r="C57" s="357"/>
      <c r="D57" s="358"/>
      <c r="E57" s="359"/>
      <c r="F57" s="360"/>
      <c r="G57" s="359"/>
    </row>
    <row r="58" spans="1:7">
      <c r="A58" s="328" t="s">
        <v>88</v>
      </c>
      <c r="B58" s="349">
        <f>零件!F57</f>
        <v>566464</v>
      </c>
      <c r="C58" s="350">
        <f>VLOOKUP(A57,[22]進出口值表查詢結果!$A$1:$E$20,4,0)</f>
        <v>896947</v>
      </c>
      <c r="D58" s="514">
        <f>(B58-C58)/C58</f>
        <v>-0.36845320849503926</v>
      </c>
      <c r="E58" s="349">
        <f>零件!G57</f>
        <v>19167619</v>
      </c>
      <c r="F58" s="350">
        <f>VLOOKUP(A57,[22]進出口值表查詢結果!$A$1:$E$20,3,0)</f>
        <v>26064303</v>
      </c>
      <c r="G58" s="514">
        <f>(E58-F58)/F58</f>
        <v>-0.26460266365074103</v>
      </c>
    </row>
    <row r="59" spans="1:7">
      <c r="A59" s="331">
        <v>40115000008</v>
      </c>
      <c r="B59" s="358"/>
      <c r="C59" s="358"/>
      <c r="D59" s="358"/>
      <c r="E59" s="359"/>
      <c r="F59" s="359"/>
      <c r="G59" s="359"/>
    </row>
    <row r="60" spans="1:7">
      <c r="A60" s="328" t="s">
        <v>92</v>
      </c>
      <c r="B60" s="349">
        <f>零件!F59</f>
        <v>1844658</v>
      </c>
      <c r="C60" s="350">
        <v>3045149</v>
      </c>
      <c r="D60" s="514">
        <f>(B60-C60)/C60</f>
        <v>-0.39423062713844215</v>
      </c>
      <c r="E60" s="349">
        <f>零件!G59</f>
        <v>33862924</v>
      </c>
      <c r="F60" s="350">
        <v>52959672</v>
      </c>
      <c r="G60" s="514">
        <f>(E60-F60)/F60</f>
        <v>-0.36059037525761112</v>
      </c>
    </row>
    <row r="61" spans="1:7">
      <c r="A61" s="328" t="s">
        <v>93</v>
      </c>
      <c r="B61" s="349"/>
      <c r="C61" s="349"/>
      <c r="D61" s="352"/>
      <c r="E61" s="353"/>
      <c r="F61" s="350"/>
      <c r="G61" s="353"/>
    </row>
    <row r="62" spans="1:7">
      <c r="A62" s="331">
        <v>40132000003</v>
      </c>
      <c r="B62" s="541"/>
      <c r="C62" s="358"/>
      <c r="D62" s="358"/>
      <c r="E62" s="359"/>
      <c r="F62" s="359"/>
      <c r="G62" s="359"/>
    </row>
    <row r="63" spans="1:7">
      <c r="A63" s="328" t="s">
        <v>94</v>
      </c>
      <c r="B63" s="349">
        <f>零件!F62</f>
        <v>219611</v>
      </c>
      <c r="C63" s="350">
        <v>873821</v>
      </c>
      <c r="D63" s="514">
        <f>(B63-C63)/C63</f>
        <v>-0.74867736069515378</v>
      </c>
      <c r="E63" s="349">
        <f>零件!G62</f>
        <v>2370753</v>
      </c>
      <c r="F63" s="350">
        <v>8970648</v>
      </c>
      <c r="G63" s="514">
        <f>(E63-F63)/F63</f>
        <v>-0.7357210984089444</v>
      </c>
    </row>
    <row r="64" spans="1:7">
      <c r="A64" s="328" t="s">
        <v>95</v>
      </c>
      <c r="B64" s="349"/>
      <c r="C64" s="351"/>
      <c r="D64" s="352"/>
      <c r="E64" s="353"/>
      <c r="F64" s="350"/>
      <c r="G64" s="353"/>
    </row>
    <row r="65" spans="1:7">
      <c r="A65" s="362" t="s">
        <v>96</v>
      </c>
      <c r="B65" s="363">
        <f>SUM(B6:B64)-B64-B61-B20-B17-B11-B8</f>
        <v>15508127</v>
      </c>
      <c r="C65" s="452">
        <f>SUM(C6:C64)</f>
        <v>25541090</v>
      </c>
      <c r="D65" s="512">
        <f>(B65-C65)/C65</f>
        <v>-0.3928165555972748</v>
      </c>
      <c r="E65" s="451">
        <f>SUM(E7:E64)</f>
        <v>729280568</v>
      </c>
      <c r="F65" s="212">
        <f>SUM(F6:F64)</f>
        <v>951136215</v>
      </c>
      <c r="G65" s="515">
        <f>(E65-F65)/F65</f>
        <v>-0.23325328538772966</v>
      </c>
    </row>
    <row r="66" spans="1:7" ht="8.25" customHeight="1">
      <c r="E66" s="5"/>
    </row>
    <row r="67" spans="1:7">
      <c r="A67" s="55" t="s">
        <v>32</v>
      </c>
    </row>
  </sheetData>
  <phoneticPr fontId="3" type="noConversion"/>
  <conditionalFormatting sqref="C41">
    <cfRule type="cellIs" dxfId="29" priority="11" operator="greaterThanOrEqual">
      <formula>0</formula>
    </cfRule>
    <cfRule type="cellIs" dxfId="28" priority="12" operator="lessThan">
      <formula>0</formula>
    </cfRule>
  </conditionalFormatting>
  <conditionalFormatting sqref="C59">
    <cfRule type="cellIs" dxfId="27" priority="9" operator="greaterThanOrEqual">
      <formula>0</formula>
    </cfRule>
    <cfRule type="cellIs" dxfId="26" priority="10" operator="lessThan">
      <formula>0</formula>
    </cfRule>
  </conditionalFormatting>
  <conditionalFormatting sqref="C62">
    <cfRule type="cellIs" dxfId="25" priority="7" operator="greaterThanOrEqual">
      <formula>0</formula>
    </cfRule>
    <cfRule type="cellIs" dxfId="24" priority="8" operator="lessThan">
      <formula>0</formula>
    </cfRule>
  </conditionalFormatting>
  <conditionalFormatting sqref="D1:D3 D6:D7 D9:D1048576">
    <cfRule type="cellIs" dxfId="23" priority="15" operator="greaterThanOrEqual">
      <formula>0</formula>
    </cfRule>
    <cfRule type="cellIs" dxfId="22" priority="16" operator="lessThan">
      <formula>0</formula>
    </cfRule>
  </conditionalFormatting>
  <conditionalFormatting sqref="F41">
    <cfRule type="cellIs" dxfId="21" priority="5" operator="greaterThanOrEqual">
      <formula>0</formula>
    </cfRule>
    <cfRule type="cellIs" dxfId="20" priority="6" operator="lessThan">
      <formula>0</formula>
    </cfRule>
  </conditionalFormatting>
  <conditionalFormatting sqref="F59">
    <cfRule type="cellIs" dxfId="19" priority="3" operator="greaterThanOrEqual">
      <formula>0</formula>
    </cfRule>
    <cfRule type="cellIs" dxfId="18" priority="4" operator="lessThan">
      <formula>0</formula>
    </cfRule>
  </conditionalFormatting>
  <conditionalFormatting sqref="F62">
    <cfRule type="cellIs" dxfId="17" priority="1" operator="greaterThanOrEqual">
      <formula>0</formula>
    </cfRule>
    <cfRule type="cellIs" dxfId="16" priority="2" operator="lessThan">
      <formula>0</formula>
    </cfRule>
  </conditionalFormatting>
  <conditionalFormatting sqref="G1:G3 G6:G1048576">
    <cfRule type="cellIs" dxfId="15" priority="13" operator="greaterThanOrEqual">
      <formula>0</formula>
    </cfRule>
    <cfRule type="cellIs" dxfId="14" priority="14" operator="lessThan">
      <formula>0</formula>
    </cfRule>
  </conditionalFormatting>
  <pageMargins left="0.51181102362204722" right="0.11811023622047245" top="0.35433070866141736" bottom="0.35433070866141736" header="0.31496062992125984" footer="0.31496062992125984"/>
  <pageSetup paperSize="9" scale="7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67"/>
  <sheetViews>
    <sheetView zoomScaleNormal="100" workbookViewId="0">
      <selection activeCell="A3" sqref="A3"/>
    </sheetView>
  </sheetViews>
  <sheetFormatPr defaultColWidth="10" defaultRowHeight="16.5"/>
  <cols>
    <col min="1" max="1" width="22.375" style="13" customWidth="1"/>
    <col min="2" max="2" width="16.625" style="321" customWidth="1"/>
    <col min="3" max="3" width="17.25" style="364" customWidth="1"/>
    <col min="4" max="4" width="15.75" style="365" customWidth="1"/>
    <col min="5" max="5" width="16.75" style="321" customWidth="1"/>
    <col min="6" max="6" width="16.875" style="364" customWidth="1"/>
    <col min="7" max="7" width="14.875" style="365" customWidth="1"/>
    <col min="8" max="256" width="10" style="13"/>
    <col min="257" max="257" width="22.375" style="13" customWidth="1"/>
    <col min="258" max="258" width="16.625" style="13" customWidth="1"/>
    <col min="259" max="259" width="17.25" style="13" customWidth="1"/>
    <col min="260" max="260" width="15.75" style="13" customWidth="1"/>
    <col min="261" max="261" width="16.75" style="13" customWidth="1"/>
    <col min="262" max="262" width="16.875" style="13" customWidth="1"/>
    <col min="263" max="263" width="14.875" style="13" customWidth="1"/>
    <col min="264" max="512" width="10" style="13"/>
    <col min="513" max="513" width="22.375" style="13" customWidth="1"/>
    <col min="514" max="514" width="16.625" style="13" customWidth="1"/>
    <col min="515" max="515" width="17.25" style="13" customWidth="1"/>
    <col min="516" max="516" width="15.75" style="13" customWidth="1"/>
    <col min="517" max="517" width="16.75" style="13" customWidth="1"/>
    <col min="518" max="518" width="16.875" style="13" customWidth="1"/>
    <col min="519" max="519" width="14.875" style="13" customWidth="1"/>
    <col min="520" max="768" width="10" style="13"/>
    <col min="769" max="769" width="22.375" style="13" customWidth="1"/>
    <col min="770" max="770" width="16.625" style="13" customWidth="1"/>
    <col min="771" max="771" width="17.25" style="13" customWidth="1"/>
    <col min="772" max="772" width="15.75" style="13" customWidth="1"/>
    <col min="773" max="773" width="16.75" style="13" customWidth="1"/>
    <col min="774" max="774" width="16.875" style="13" customWidth="1"/>
    <col min="775" max="775" width="14.875" style="13" customWidth="1"/>
    <col min="776" max="1024" width="10" style="13"/>
    <col min="1025" max="1025" width="22.375" style="13" customWidth="1"/>
    <col min="1026" max="1026" width="16.625" style="13" customWidth="1"/>
    <col min="1027" max="1027" width="17.25" style="13" customWidth="1"/>
    <col min="1028" max="1028" width="15.75" style="13" customWidth="1"/>
    <col min="1029" max="1029" width="16.75" style="13" customWidth="1"/>
    <col min="1030" max="1030" width="16.875" style="13" customWidth="1"/>
    <col min="1031" max="1031" width="14.875" style="13" customWidth="1"/>
    <col min="1032" max="1280" width="10" style="13"/>
    <col min="1281" max="1281" width="22.375" style="13" customWidth="1"/>
    <col min="1282" max="1282" width="16.625" style="13" customWidth="1"/>
    <col min="1283" max="1283" width="17.25" style="13" customWidth="1"/>
    <col min="1284" max="1284" width="15.75" style="13" customWidth="1"/>
    <col min="1285" max="1285" width="16.75" style="13" customWidth="1"/>
    <col min="1286" max="1286" width="16.875" style="13" customWidth="1"/>
    <col min="1287" max="1287" width="14.875" style="13" customWidth="1"/>
    <col min="1288" max="1536" width="10" style="13"/>
    <col min="1537" max="1537" width="22.375" style="13" customWidth="1"/>
    <col min="1538" max="1538" width="16.625" style="13" customWidth="1"/>
    <col min="1539" max="1539" width="17.25" style="13" customWidth="1"/>
    <col min="1540" max="1540" width="15.75" style="13" customWidth="1"/>
    <col min="1541" max="1541" width="16.75" style="13" customWidth="1"/>
    <col min="1542" max="1542" width="16.875" style="13" customWidth="1"/>
    <col min="1543" max="1543" width="14.875" style="13" customWidth="1"/>
    <col min="1544" max="1792" width="10" style="13"/>
    <col min="1793" max="1793" width="22.375" style="13" customWidth="1"/>
    <col min="1794" max="1794" width="16.625" style="13" customWidth="1"/>
    <col min="1795" max="1795" width="17.25" style="13" customWidth="1"/>
    <col min="1796" max="1796" width="15.75" style="13" customWidth="1"/>
    <col min="1797" max="1797" width="16.75" style="13" customWidth="1"/>
    <col min="1798" max="1798" width="16.875" style="13" customWidth="1"/>
    <col min="1799" max="1799" width="14.875" style="13" customWidth="1"/>
    <col min="1800" max="2048" width="10" style="13"/>
    <col min="2049" max="2049" width="22.375" style="13" customWidth="1"/>
    <col min="2050" max="2050" width="16.625" style="13" customWidth="1"/>
    <col min="2051" max="2051" width="17.25" style="13" customWidth="1"/>
    <col min="2052" max="2052" width="15.75" style="13" customWidth="1"/>
    <col min="2053" max="2053" width="16.75" style="13" customWidth="1"/>
    <col min="2054" max="2054" width="16.875" style="13" customWidth="1"/>
    <col min="2055" max="2055" width="14.875" style="13" customWidth="1"/>
    <col min="2056" max="2304" width="10" style="13"/>
    <col min="2305" max="2305" width="22.375" style="13" customWidth="1"/>
    <col min="2306" max="2306" width="16.625" style="13" customWidth="1"/>
    <col min="2307" max="2307" width="17.25" style="13" customWidth="1"/>
    <col min="2308" max="2308" width="15.75" style="13" customWidth="1"/>
    <col min="2309" max="2309" width="16.75" style="13" customWidth="1"/>
    <col min="2310" max="2310" width="16.875" style="13" customWidth="1"/>
    <col min="2311" max="2311" width="14.875" style="13" customWidth="1"/>
    <col min="2312" max="2560" width="10" style="13"/>
    <col min="2561" max="2561" width="22.375" style="13" customWidth="1"/>
    <col min="2562" max="2562" width="16.625" style="13" customWidth="1"/>
    <col min="2563" max="2563" width="17.25" style="13" customWidth="1"/>
    <col min="2564" max="2564" width="15.75" style="13" customWidth="1"/>
    <col min="2565" max="2565" width="16.75" style="13" customWidth="1"/>
    <col min="2566" max="2566" width="16.875" style="13" customWidth="1"/>
    <col min="2567" max="2567" width="14.875" style="13" customWidth="1"/>
    <col min="2568" max="2816" width="10" style="13"/>
    <col min="2817" max="2817" width="22.375" style="13" customWidth="1"/>
    <col min="2818" max="2818" width="16.625" style="13" customWidth="1"/>
    <col min="2819" max="2819" width="17.25" style="13" customWidth="1"/>
    <col min="2820" max="2820" width="15.75" style="13" customWidth="1"/>
    <col min="2821" max="2821" width="16.75" style="13" customWidth="1"/>
    <col min="2822" max="2822" width="16.875" style="13" customWidth="1"/>
    <col min="2823" max="2823" width="14.875" style="13" customWidth="1"/>
    <col min="2824" max="3072" width="10" style="13"/>
    <col min="3073" max="3073" width="22.375" style="13" customWidth="1"/>
    <col min="3074" max="3074" width="16.625" style="13" customWidth="1"/>
    <col min="3075" max="3075" width="17.25" style="13" customWidth="1"/>
    <col min="3076" max="3076" width="15.75" style="13" customWidth="1"/>
    <col min="3077" max="3077" width="16.75" style="13" customWidth="1"/>
    <col min="3078" max="3078" width="16.875" style="13" customWidth="1"/>
    <col min="3079" max="3079" width="14.875" style="13" customWidth="1"/>
    <col min="3080" max="3328" width="10" style="13"/>
    <col min="3329" max="3329" width="22.375" style="13" customWidth="1"/>
    <col min="3330" max="3330" width="16.625" style="13" customWidth="1"/>
    <col min="3331" max="3331" width="17.25" style="13" customWidth="1"/>
    <col min="3332" max="3332" width="15.75" style="13" customWidth="1"/>
    <col min="3333" max="3333" width="16.75" style="13" customWidth="1"/>
    <col min="3334" max="3334" width="16.875" style="13" customWidth="1"/>
    <col min="3335" max="3335" width="14.875" style="13" customWidth="1"/>
    <col min="3336" max="3584" width="10" style="13"/>
    <col min="3585" max="3585" width="22.375" style="13" customWidth="1"/>
    <col min="3586" max="3586" width="16.625" style="13" customWidth="1"/>
    <col min="3587" max="3587" width="17.25" style="13" customWidth="1"/>
    <col min="3588" max="3588" width="15.75" style="13" customWidth="1"/>
    <col min="3589" max="3589" width="16.75" style="13" customWidth="1"/>
    <col min="3590" max="3590" width="16.875" style="13" customWidth="1"/>
    <col min="3591" max="3591" width="14.875" style="13" customWidth="1"/>
    <col min="3592" max="3840" width="10" style="13"/>
    <col min="3841" max="3841" width="22.375" style="13" customWidth="1"/>
    <col min="3842" max="3842" width="16.625" style="13" customWidth="1"/>
    <col min="3843" max="3843" width="17.25" style="13" customWidth="1"/>
    <col min="3844" max="3844" width="15.75" style="13" customWidth="1"/>
    <col min="3845" max="3845" width="16.75" style="13" customWidth="1"/>
    <col min="3846" max="3846" width="16.875" style="13" customWidth="1"/>
    <col min="3847" max="3847" width="14.875" style="13" customWidth="1"/>
    <col min="3848" max="4096" width="10" style="13"/>
    <col min="4097" max="4097" width="22.375" style="13" customWidth="1"/>
    <col min="4098" max="4098" width="16.625" style="13" customWidth="1"/>
    <col min="4099" max="4099" width="17.25" style="13" customWidth="1"/>
    <col min="4100" max="4100" width="15.75" style="13" customWidth="1"/>
    <col min="4101" max="4101" width="16.75" style="13" customWidth="1"/>
    <col min="4102" max="4102" width="16.875" style="13" customWidth="1"/>
    <col min="4103" max="4103" width="14.875" style="13" customWidth="1"/>
    <col min="4104" max="4352" width="10" style="13"/>
    <col min="4353" max="4353" width="22.375" style="13" customWidth="1"/>
    <col min="4354" max="4354" width="16.625" style="13" customWidth="1"/>
    <col min="4355" max="4355" width="17.25" style="13" customWidth="1"/>
    <col min="4356" max="4356" width="15.75" style="13" customWidth="1"/>
    <col min="4357" max="4357" width="16.75" style="13" customWidth="1"/>
    <col min="4358" max="4358" width="16.875" style="13" customWidth="1"/>
    <col min="4359" max="4359" width="14.875" style="13" customWidth="1"/>
    <col min="4360" max="4608" width="10" style="13"/>
    <col min="4609" max="4609" width="22.375" style="13" customWidth="1"/>
    <col min="4610" max="4610" width="16.625" style="13" customWidth="1"/>
    <col min="4611" max="4611" width="17.25" style="13" customWidth="1"/>
    <col min="4612" max="4612" width="15.75" style="13" customWidth="1"/>
    <col min="4613" max="4613" width="16.75" style="13" customWidth="1"/>
    <col min="4614" max="4614" width="16.875" style="13" customWidth="1"/>
    <col min="4615" max="4615" width="14.875" style="13" customWidth="1"/>
    <col min="4616" max="4864" width="10" style="13"/>
    <col min="4865" max="4865" width="22.375" style="13" customWidth="1"/>
    <col min="4866" max="4866" width="16.625" style="13" customWidth="1"/>
    <col min="4867" max="4867" width="17.25" style="13" customWidth="1"/>
    <col min="4868" max="4868" width="15.75" style="13" customWidth="1"/>
    <col min="4869" max="4869" width="16.75" style="13" customWidth="1"/>
    <col min="4870" max="4870" width="16.875" style="13" customWidth="1"/>
    <col min="4871" max="4871" width="14.875" style="13" customWidth="1"/>
    <col min="4872" max="5120" width="10" style="13"/>
    <col min="5121" max="5121" width="22.375" style="13" customWidth="1"/>
    <col min="5122" max="5122" width="16.625" style="13" customWidth="1"/>
    <col min="5123" max="5123" width="17.25" style="13" customWidth="1"/>
    <col min="5124" max="5124" width="15.75" style="13" customWidth="1"/>
    <col min="5125" max="5125" width="16.75" style="13" customWidth="1"/>
    <col min="5126" max="5126" width="16.875" style="13" customWidth="1"/>
    <col min="5127" max="5127" width="14.875" style="13" customWidth="1"/>
    <col min="5128" max="5376" width="10" style="13"/>
    <col min="5377" max="5377" width="22.375" style="13" customWidth="1"/>
    <col min="5378" max="5378" width="16.625" style="13" customWidth="1"/>
    <col min="5379" max="5379" width="17.25" style="13" customWidth="1"/>
    <col min="5380" max="5380" width="15.75" style="13" customWidth="1"/>
    <col min="5381" max="5381" width="16.75" style="13" customWidth="1"/>
    <col min="5382" max="5382" width="16.875" style="13" customWidth="1"/>
    <col min="5383" max="5383" width="14.875" style="13" customWidth="1"/>
    <col min="5384" max="5632" width="10" style="13"/>
    <col min="5633" max="5633" width="22.375" style="13" customWidth="1"/>
    <col min="5634" max="5634" width="16.625" style="13" customWidth="1"/>
    <col min="5635" max="5635" width="17.25" style="13" customWidth="1"/>
    <col min="5636" max="5636" width="15.75" style="13" customWidth="1"/>
    <col min="5637" max="5637" width="16.75" style="13" customWidth="1"/>
    <col min="5638" max="5638" width="16.875" style="13" customWidth="1"/>
    <col min="5639" max="5639" width="14.875" style="13" customWidth="1"/>
    <col min="5640" max="5888" width="10" style="13"/>
    <col min="5889" max="5889" width="22.375" style="13" customWidth="1"/>
    <col min="5890" max="5890" width="16.625" style="13" customWidth="1"/>
    <col min="5891" max="5891" width="17.25" style="13" customWidth="1"/>
    <col min="5892" max="5892" width="15.75" style="13" customWidth="1"/>
    <col min="5893" max="5893" width="16.75" style="13" customWidth="1"/>
    <col min="5894" max="5894" width="16.875" style="13" customWidth="1"/>
    <col min="5895" max="5895" width="14.875" style="13" customWidth="1"/>
    <col min="5896" max="6144" width="10" style="13"/>
    <col min="6145" max="6145" width="22.375" style="13" customWidth="1"/>
    <col min="6146" max="6146" width="16.625" style="13" customWidth="1"/>
    <col min="6147" max="6147" width="17.25" style="13" customWidth="1"/>
    <col min="6148" max="6148" width="15.75" style="13" customWidth="1"/>
    <col min="6149" max="6149" width="16.75" style="13" customWidth="1"/>
    <col min="6150" max="6150" width="16.875" style="13" customWidth="1"/>
    <col min="6151" max="6151" width="14.875" style="13" customWidth="1"/>
    <col min="6152" max="6400" width="10" style="13"/>
    <col min="6401" max="6401" width="22.375" style="13" customWidth="1"/>
    <col min="6402" max="6402" width="16.625" style="13" customWidth="1"/>
    <col min="6403" max="6403" width="17.25" style="13" customWidth="1"/>
    <col min="6404" max="6404" width="15.75" style="13" customWidth="1"/>
    <col min="6405" max="6405" width="16.75" style="13" customWidth="1"/>
    <col min="6406" max="6406" width="16.875" style="13" customWidth="1"/>
    <col min="6407" max="6407" width="14.875" style="13" customWidth="1"/>
    <col min="6408" max="6656" width="10" style="13"/>
    <col min="6657" max="6657" width="22.375" style="13" customWidth="1"/>
    <col min="6658" max="6658" width="16.625" style="13" customWidth="1"/>
    <col min="6659" max="6659" width="17.25" style="13" customWidth="1"/>
    <col min="6660" max="6660" width="15.75" style="13" customWidth="1"/>
    <col min="6661" max="6661" width="16.75" style="13" customWidth="1"/>
    <col min="6662" max="6662" width="16.875" style="13" customWidth="1"/>
    <col min="6663" max="6663" width="14.875" style="13" customWidth="1"/>
    <col min="6664" max="6912" width="10" style="13"/>
    <col min="6913" max="6913" width="22.375" style="13" customWidth="1"/>
    <col min="6914" max="6914" width="16.625" style="13" customWidth="1"/>
    <col min="6915" max="6915" width="17.25" style="13" customWidth="1"/>
    <col min="6916" max="6916" width="15.75" style="13" customWidth="1"/>
    <col min="6917" max="6917" width="16.75" style="13" customWidth="1"/>
    <col min="6918" max="6918" width="16.875" style="13" customWidth="1"/>
    <col min="6919" max="6919" width="14.875" style="13" customWidth="1"/>
    <col min="6920" max="7168" width="10" style="13"/>
    <col min="7169" max="7169" width="22.375" style="13" customWidth="1"/>
    <col min="7170" max="7170" width="16.625" style="13" customWidth="1"/>
    <col min="7171" max="7171" width="17.25" style="13" customWidth="1"/>
    <col min="7172" max="7172" width="15.75" style="13" customWidth="1"/>
    <col min="7173" max="7173" width="16.75" style="13" customWidth="1"/>
    <col min="7174" max="7174" width="16.875" style="13" customWidth="1"/>
    <col min="7175" max="7175" width="14.875" style="13" customWidth="1"/>
    <col min="7176" max="7424" width="10" style="13"/>
    <col min="7425" max="7425" width="22.375" style="13" customWidth="1"/>
    <col min="7426" max="7426" width="16.625" style="13" customWidth="1"/>
    <col min="7427" max="7427" width="17.25" style="13" customWidth="1"/>
    <col min="7428" max="7428" width="15.75" style="13" customWidth="1"/>
    <col min="7429" max="7429" width="16.75" style="13" customWidth="1"/>
    <col min="7430" max="7430" width="16.875" style="13" customWidth="1"/>
    <col min="7431" max="7431" width="14.875" style="13" customWidth="1"/>
    <col min="7432" max="7680" width="10" style="13"/>
    <col min="7681" max="7681" width="22.375" style="13" customWidth="1"/>
    <col min="7682" max="7682" width="16.625" style="13" customWidth="1"/>
    <col min="7683" max="7683" width="17.25" style="13" customWidth="1"/>
    <col min="7684" max="7684" width="15.75" style="13" customWidth="1"/>
    <col min="7685" max="7685" width="16.75" style="13" customWidth="1"/>
    <col min="7686" max="7686" width="16.875" style="13" customWidth="1"/>
    <col min="7687" max="7687" width="14.875" style="13" customWidth="1"/>
    <col min="7688" max="7936" width="10" style="13"/>
    <col min="7937" max="7937" width="22.375" style="13" customWidth="1"/>
    <col min="7938" max="7938" width="16.625" style="13" customWidth="1"/>
    <col min="7939" max="7939" width="17.25" style="13" customWidth="1"/>
    <col min="7940" max="7940" width="15.75" style="13" customWidth="1"/>
    <col min="7941" max="7941" width="16.75" style="13" customWidth="1"/>
    <col min="7942" max="7942" width="16.875" style="13" customWidth="1"/>
    <col min="7943" max="7943" width="14.875" style="13" customWidth="1"/>
    <col min="7944" max="8192" width="10" style="13"/>
    <col min="8193" max="8193" width="22.375" style="13" customWidth="1"/>
    <col min="8194" max="8194" width="16.625" style="13" customWidth="1"/>
    <col min="8195" max="8195" width="17.25" style="13" customWidth="1"/>
    <col min="8196" max="8196" width="15.75" style="13" customWidth="1"/>
    <col min="8197" max="8197" width="16.75" style="13" customWidth="1"/>
    <col min="8198" max="8198" width="16.875" style="13" customWidth="1"/>
    <col min="8199" max="8199" width="14.875" style="13" customWidth="1"/>
    <col min="8200" max="8448" width="10" style="13"/>
    <col min="8449" max="8449" width="22.375" style="13" customWidth="1"/>
    <col min="8450" max="8450" width="16.625" style="13" customWidth="1"/>
    <col min="8451" max="8451" width="17.25" style="13" customWidth="1"/>
    <col min="8452" max="8452" width="15.75" style="13" customWidth="1"/>
    <col min="8453" max="8453" width="16.75" style="13" customWidth="1"/>
    <col min="8454" max="8454" width="16.875" style="13" customWidth="1"/>
    <col min="8455" max="8455" width="14.875" style="13" customWidth="1"/>
    <col min="8456" max="8704" width="10" style="13"/>
    <col min="8705" max="8705" width="22.375" style="13" customWidth="1"/>
    <col min="8706" max="8706" width="16.625" style="13" customWidth="1"/>
    <col min="8707" max="8707" width="17.25" style="13" customWidth="1"/>
    <col min="8708" max="8708" width="15.75" style="13" customWidth="1"/>
    <col min="8709" max="8709" width="16.75" style="13" customWidth="1"/>
    <col min="8710" max="8710" width="16.875" style="13" customWidth="1"/>
    <col min="8711" max="8711" width="14.875" style="13" customWidth="1"/>
    <col min="8712" max="8960" width="10" style="13"/>
    <col min="8961" max="8961" width="22.375" style="13" customWidth="1"/>
    <col min="8962" max="8962" width="16.625" style="13" customWidth="1"/>
    <col min="8963" max="8963" width="17.25" style="13" customWidth="1"/>
    <col min="8964" max="8964" width="15.75" style="13" customWidth="1"/>
    <col min="8965" max="8965" width="16.75" style="13" customWidth="1"/>
    <col min="8966" max="8966" width="16.875" style="13" customWidth="1"/>
    <col min="8967" max="8967" width="14.875" style="13" customWidth="1"/>
    <col min="8968" max="9216" width="10" style="13"/>
    <col min="9217" max="9217" width="22.375" style="13" customWidth="1"/>
    <col min="9218" max="9218" width="16.625" style="13" customWidth="1"/>
    <col min="9219" max="9219" width="17.25" style="13" customWidth="1"/>
    <col min="9220" max="9220" width="15.75" style="13" customWidth="1"/>
    <col min="9221" max="9221" width="16.75" style="13" customWidth="1"/>
    <col min="9222" max="9222" width="16.875" style="13" customWidth="1"/>
    <col min="9223" max="9223" width="14.875" style="13" customWidth="1"/>
    <col min="9224" max="9472" width="10" style="13"/>
    <col min="9473" max="9473" width="22.375" style="13" customWidth="1"/>
    <col min="9474" max="9474" width="16.625" style="13" customWidth="1"/>
    <col min="9475" max="9475" width="17.25" style="13" customWidth="1"/>
    <col min="9476" max="9476" width="15.75" style="13" customWidth="1"/>
    <col min="9477" max="9477" width="16.75" style="13" customWidth="1"/>
    <col min="9478" max="9478" width="16.875" style="13" customWidth="1"/>
    <col min="9479" max="9479" width="14.875" style="13" customWidth="1"/>
    <col min="9480" max="9728" width="10" style="13"/>
    <col min="9729" max="9729" width="22.375" style="13" customWidth="1"/>
    <col min="9730" max="9730" width="16.625" style="13" customWidth="1"/>
    <col min="9731" max="9731" width="17.25" style="13" customWidth="1"/>
    <col min="9732" max="9732" width="15.75" style="13" customWidth="1"/>
    <col min="9733" max="9733" width="16.75" style="13" customWidth="1"/>
    <col min="9734" max="9734" width="16.875" style="13" customWidth="1"/>
    <col min="9735" max="9735" width="14.875" style="13" customWidth="1"/>
    <col min="9736" max="9984" width="10" style="13"/>
    <col min="9985" max="9985" width="22.375" style="13" customWidth="1"/>
    <col min="9986" max="9986" width="16.625" style="13" customWidth="1"/>
    <col min="9987" max="9987" width="17.25" style="13" customWidth="1"/>
    <col min="9988" max="9988" width="15.75" style="13" customWidth="1"/>
    <col min="9989" max="9989" width="16.75" style="13" customWidth="1"/>
    <col min="9990" max="9990" width="16.875" style="13" customWidth="1"/>
    <col min="9991" max="9991" width="14.875" style="13" customWidth="1"/>
    <col min="9992" max="10240" width="10" style="13"/>
    <col min="10241" max="10241" width="22.375" style="13" customWidth="1"/>
    <col min="10242" max="10242" width="16.625" style="13" customWidth="1"/>
    <col min="10243" max="10243" width="17.25" style="13" customWidth="1"/>
    <col min="10244" max="10244" width="15.75" style="13" customWidth="1"/>
    <col min="10245" max="10245" width="16.75" style="13" customWidth="1"/>
    <col min="10246" max="10246" width="16.875" style="13" customWidth="1"/>
    <col min="10247" max="10247" width="14.875" style="13" customWidth="1"/>
    <col min="10248" max="10496" width="10" style="13"/>
    <col min="10497" max="10497" width="22.375" style="13" customWidth="1"/>
    <col min="10498" max="10498" width="16.625" style="13" customWidth="1"/>
    <col min="10499" max="10499" width="17.25" style="13" customWidth="1"/>
    <col min="10500" max="10500" width="15.75" style="13" customWidth="1"/>
    <col min="10501" max="10501" width="16.75" style="13" customWidth="1"/>
    <col min="10502" max="10502" width="16.875" style="13" customWidth="1"/>
    <col min="10503" max="10503" width="14.875" style="13" customWidth="1"/>
    <col min="10504" max="10752" width="10" style="13"/>
    <col min="10753" max="10753" width="22.375" style="13" customWidth="1"/>
    <col min="10754" max="10754" width="16.625" style="13" customWidth="1"/>
    <col min="10755" max="10755" width="17.25" style="13" customWidth="1"/>
    <col min="10756" max="10756" width="15.75" style="13" customWidth="1"/>
    <col min="10757" max="10757" width="16.75" style="13" customWidth="1"/>
    <col min="10758" max="10758" width="16.875" style="13" customWidth="1"/>
    <col min="10759" max="10759" width="14.875" style="13" customWidth="1"/>
    <col min="10760" max="11008" width="10" style="13"/>
    <col min="11009" max="11009" width="22.375" style="13" customWidth="1"/>
    <col min="11010" max="11010" width="16.625" style="13" customWidth="1"/>
    <col min="11011" max="11011" width="17.25" style="13" customWidth="1"/>
    <col min="11012" max="11012" width="15.75" style="13" customWidth="1"/>
    <col min="11013" max="11013" width="16.75" style="13" customWidth="1"/>
    <col min="11014" max="11014" width="16.875" style="13" customWidth="1"/>
    <col min="11015" max="11015" width="14.875" style="13" customWidth="1"/>
    <col min="11016" max="11264" width="10" style="13"/>
    <col min="11265" max="11265" width="22.375" style="13" customWidth="1"/>
    <col min="11266" max="11266" width="16.625" style="13" customWidth="1"/>
    <col min="11267" max="11267" width="17.25" style="13" customWidth="1"/>
    <col min="11268" max="11268" width="15.75" style="13" customWidth="1"/>
    <col min="11269" max="11269" width="16.75" style="13" customWidth="1"/>
    <col min="11270" max="11270" width="16.875" style="13" customWidth="1"/>
    <col min="11271" max="11271" width="14.875" style="13" customWidth="1"/>
    <col min="11272" max="11520" width="10" style="13"/>
    <col min="11521" max="11521" width="22.375" style="13" customWidth="1"/>
    <col min="11522" max="11522" width="16.625" style="13" customWidth="1"/>
    <col min="11523" max="11523" width="17.25" style="13" customWidth="1"/>
    <col min="11524" max="11524" width="15.75" style="13" customWidth="1"/>
    <col min="11525" max="11525" width="16.75" style="13" customWidth="1"/>
    <col min="11526" max="11526" width="16.875" style="13" customWidth="1"/>
    <col min="11527" max="11527" width="14.875" style="13" customWidth="1"/>
    <col min="11528" max="11776" width="10" style="13"/>
    <col min="11777" max="11777" width="22.375" style="13" customWidth="1"/>
    <col min="11778" max="11778" width="16.625" style="13" customWidth="1"/>
    <col min="11779" max="11779" width="17.25" style="13" customWidth="1"/>
    <col min="11780" max="11780" width="15.75" style="13" customWidth="1"/>
    <col min="11781" max="11781" width="16.75" style="13" customWidth="1"/>
    <col min="11782" max="11782" width="16.875" style="13" customWidth="1"/>
    <col min="11783" max="11783" width="14.875" style="13" customWidth="1"/>
    <col min="11784" max="12032" width="10" style="13"/>
    <col min="12033" max="12033" width="22.375" style="13" customWidth="1"/>
    <col min="12034" max="12034" width="16.625" style="13" customWidth="1"/>
    <col min="12035" max="12035" width="17.25" style="13" customWidth="1"/>
    <col min="12036" max="12036" width="15.75" style="13" customWidth="1"/>
    <col min="12037" max="12037" width="16.75" style="13" customWidth="1"/>
    <col min="12038" max="12038" width="16.875" style="13" customWidth="1"/>
    <col min="12039" max="12039" width="14.875" style="13" customWidth="1"/>
    <col min="12040" max="12288" width="10" style="13"/>
    <col min="12289" max="12289" width="22.375" style="13" customWidth="1"/>
    <col min="12290" max="12290" width="16.625" style="13" customWidth="1"/>
    <col min="12291" max="12291" width="17.25" style="13" customWidth="1"/>
    <col min="12292" max="12292" width="15.75" style="13" customWidth="1"/>
    <col min="12293" max="12293" width="16.75" style="13" customWidth="1"/>
    <col min="12294" max="12294" width="16.875" style="13" customWidth="1"/>
    <col min="12295" max="12295" width="14.875" style="13" customWidth="1"/>
    <col min="12296" max="12544" width="10" style="13"/>
    <col min="12545" max="12545" width="22.375" style="13" customWidth="1"/>
    <col min="12546" max="12546" width="16.625" style="13" customWidth="1"/>
    <col min="12547" max="12547" width="17.25" style="13" customWidth="1"/>
    <col min="12548" max="12548" width="15.75" style="13" customWidth="1"/>
    <col min="12549" max="12549" width="16.75" style="13" customWidth="1"/>
    <col min="12550" max="12550" width="16.875" style="13" customWidth="1"/>
    <col min="12551" max="12551" width="14.875" style="13" customWidth="1"/>
    <col min="12552" max="12800" width="10" style="13"/>
    <col min="12801" max="12801" width="22.375" style="13" customWidth="1"/>
    <col min="12802" max="12802" width="16.625" style="13" customWidth="1"/>
    <col min="12803" max="12803" width="17.25" style="13" customWidth="1"/>
    <col min="12804" max="12804" width="15.75" style="13" customWidth="1"/>
    <col min="12805" max="12805" width="16.75" style="13" customWidth="1"/>
    <col min="12806" max="12806" width="16.875" style="13" customWidth="1"/>
    <col min="12807" max="12807" width="14.875" style="13" customWidth="1"/>
    <col min="12808" max="13056" width="10" style="13"/>
    <col min="13057" max="13057" width="22.375" style="13" customWidth="1"/>
    <col min="13058" max="13058" width="16.625" style="13" customWidth="1"/>
    <col min="13059" max="13059" width="17.25" style="13" customWidth="1"/>
    <col min="13060" max="13060" width="15.75" style="13" customWidth="1"/>
    <col min="13061" max="13061" width="16.75" style="13" customWidth="1"/>
    <col min="13062" max="13062" width="16.875" style="13" customWidth="1"/>
    <col min="13063" max="13063" width="14.875" style="13" customWidth="1"/>
    <col min="13064" max="13312" width="10" style="13"/>
    <col min="13313" max="13313" width="22.375" style="13" customWidth="1"/>
    <col min="13314" max="13314" width="16.625" style="13" customWidth="1"/>
    <col min="13315" max="13315" width="17.25" style="13" customWidth="1"/>
    <col min="13316" max="13316" width="15.75" style="13" customWidth="1"/>
    <col min="13317" max="13317" width="16.75" style="13" customWidth="1"/>
    <col min="13318" max="13318" width="16.875" style="13" customWidth="1"/>
    <col min="13319" max="13319" width="14.875" style="13" customWidth="1"/>
    <col min="13320" max="13568" width="10" style="13"/>
    <col min="13569" max="13569" width="22.375" style="13" customWidth="1"/>
    <col min="13570" max="13570" width="16.625" style="13" customWidth="1"/>
    <col min="13571" max="13571" width="17.25" style="13" customWidth="1"/>
    <col min="13572" max="13572" width="15.75" style="13" customWidth="1"/>
    <col min="13573" max="13573" width="16.75" style="13" customWidth="1"/>
    <col min="13574" max="13574" width="16.875" style="13" customWidth="1"/>
    <col min="13575" max="13575" width="14.875" style="13" customWidth="1"/>
    <col min="13576" max="13824" width="10" style="13"/>
    <col min="13825" max="13825" width="22.375" style="13" customWidth="1"/>
    <col min="13826" max="13826" width="16.625" style="13" customWidth="1"/>
    <col min="13827" max="13827" width="17.25" style="13" customWidth="1"/>
    <col min="13828" max="13828" width="15.75" style="13" customWidth="1"/>
    <col min="13829" max="13829" width="16.75" style="13" customWidth="1"/>
    <col min="13830" max="13830" width="16.875" style="13" customWidth="1"/>
    <col min="13831" max="13831" width="14.875" style="13" customWidth="1"/>
    <col min="13832" max="14080" width="10" style="13"/>
    <col min="14081" max="14081" width="22.375" style="13" customWidth="1"/>
    <col min="14082" max="14082" width="16.625" style="13" customWidth="1"/>
    <col min="14083" max="14083" width="17.25" style="13" customWidth="1"/>
    <col min="14084" max="14084" width="15.75" style="13" customWidth="1"/>
    <col min="14085" max="14085" width="16.75" style="13" customWidth="1"/>
    <col min="14086" max="14086" width="16.875" style="13" customWidth="1"/>
    <col min="14087" max="14087" width="14.875" style="13" customWidth="1"/>
    <col min="14088" max="14336" width="10" style="13"/>
    <col min="14337" max="14337" width="22.375" style="13" customWidth="1"/>
    <col min="14338" max="14338" width="16.625" style="13" customWidth="1"/>
    <col min="14339" max="14339" width="17.25" style="13" customWidth="1"/>
    <col min="14340" max="14340" width="15.75" style="13" customWidth="1"/>
    <col min="14341" max="14341" width="16.75" style="13" customWidth="1"/>
    <col min="14342" max="14342" width="16.875" style="13" customWidth="1"/>
    <col min="14343" max="14343" width="14.875" style="13" customWidth="1"/>
    <col min="14344" max="14592" width="10" style="13"/>
    <col min="14593" max="14593" width="22.375" style="13" customWidth="1"/>
    <col min="14594" max="14594" width="16.625" style="13" customWidth="1"/>
    <col min="14595" max="14595" width="17.25" style="13" customWidth="1"/>
    <col min="14596" max="14596" width="15.75" style="13" customWidth="1"/>
    <col min="14597" max="14597" width="16.75" style="13" customWidth="1"/>
    <col min="14598" max="14598" width="16.875" style="13" customWidth="1"/>
    <col min="14599" max="14599" width="14.875" style="13" customWidth="1"/>
    <col min="14600" max="14848" width="10" style="13"/>
    <col min="14849" max="14849" width="22.375" style="13" customWidth="1"/>
    <col min="14850" max="14850" width="16.625" style="13" customWidth="1"/>
    <col min="14851" max="14851" width="17.25" style="13" customWidth="1"/>
    <col min="14852" max="14852" width="15.75" style="13" customWidth="1"/>
    <col min="14853" max="14853" width="16.75" style="13" customWidth="1"/>
    <col min="14854" max="14854" width="16.875" style="13" customWidth="1"/>
    <col min="14855" max="14855" width="14.875" style="13" customWidth="1"/>
    <col min="14856" max="15104" width="10" style="13"/>
    <col min="15105" max="15105" width="22.375" style="13" customWidth="1"/>
    <col min="15106" max="15106" width="16.625" style="13" customWidth="1"/>
    <col min="15107" max="15107" width="17.25" style="13" customWidth="1"/>
    <col min="15108" max="15108" width="15.75" style="13" customWidth="1"/>
    <col min="15109" max="15109" width="16.75" style="13" customWidth="1"/>
    <col min="15110" max="15110" width="16.875" style="13" customWidth="1"/>
    <col min="15111" max="15111" width="14.875" style="13" customWidth="1"/>
    <col min="15112" max="15360" width="10" style="13"/>
    <col min="15361" max="15361" width="22.375" style="13" customWidth="1"/>
    <col min="15362" max="15362" width="16.625" style="13" customWidth="1"/>
    <col min="15363" max="15363" width="17.25" style="13" customWidth="1"/>
    <col min="15364" max="15364" width="15.75" style="13" customWidth="1"/>
    <col min="15365" max="15365" width="16.75" style="13" customWidth="1"/>
    <col min="15366" max="15366" width="16.875" style="13" customWidth="1"/>
    <col min="15367" max="15367" width="14.875" style="13" customWidth="1"/>
    <col min="15368" max="15616" width="10" style="13"/>
    <col min="15617" max="15617" width="22.375" style="13" customWidth="1"/>
    <col min="15618" max="15618" width="16.625" style="13" customWidth="1"/>
    <col min="15619" max="15619" width="17.25" style="13" customWidth="1"/>
    <col min="15620" max="15620" width="15.75" style="13" customWidth="1"/>
    <col min="15621" max="15621" width="16.75" style="13" customWidth="1"/>
    <col min="15622" max="15622" width="16.875" style="13" customWidth="1"/>
    <col min="15623" max="15623" width="14.875" style="13" customWidth="1"/>
    <col min="15624" max="15872" width="10" style="13"/>
    <col min="15873" max="15873" width="22.375" style="13" customWidth="1"/>
    <col min="15874" max="15874" width="16.625" style="13" customWidth="1"/>
    <col min="15875" max="15875" width="17.25" style="13" customWidth="1"/>
    <col min="15876" max="15876" width="15.75" style="13" customWidth="1"/>
    <col min="15877" max="15877" width="16.75" style="13" customWidth="1"/>
    <col min="15878" max="15878" width="16.875" style="13" customWidth="1"/>
    <col min="15879" max="15879" width="14.875" style="13" customWidth="1"/>
    <col min="15880" max="16128" width="10" style="13"/>
    <col min="16129" max="16129" width="22.375" style="13" customWidth="1"/>
    <col min="16130" max="16130" width="16.625" style="13" customWidth="1"/>
    <col min="16131" max="16131" width="17.25" style="13" customWidth="1"/>
    <col min="16132" max="16132" width="15.75" style="13" customWidth="1"/>
    <col min="16133" max="16133" width="16.75" style="13" customWidth="1"/>
    <col min="16134" max="16134" width="16.875" style="13" customWidth="1"/>
    <col min="16135" max="16135" width="14.875" style="13" customWidth="1"/>
    <col min="16136" max="16384" width="10" style="13"/>
  </cols>
  <sheetData>
    <row r="1" spans="1:7" s="318" customFormat="1" ht="21">
      <c r="A1" s="337" t="s">
        <v>504</v>
      </c>
      <c r="B1" s="338"/>
      <c r="C1" s="339"/>
      <c r="D1" s="340"/>
      <c r="E1" s="338"/>
      <c r="F1" s="339"/>
      <c r="G1" s="340"/>
    </row>
    <row r="2" spans="1:7" s="318" customFormat="1">
      <c r="B2" s="319"/>
      <c r="C2" s="341"/>
      <c r="D2" s="342"/>
      <c r="E2" s="319"/>
      <c r="F2" s="341"/>
      <c r="G2" s="342"/>
    </row>
    <row r="3" spans="1:7" s="318" customFormat="1">
      <c r="A3" s="320"/>
      <c r="B3" s="319"/>
      <c r="C3" s="341"/>
      <c r="D3" s="342"/>
      <c r="E3" s="319"/>
      <c r="F3" s="341"/>
      <c r="G3" s="342"/>
    </row>
    <row r="4" spans="1:7">
      <c r="A4" s="524" t="s">
        <v>97</v>
      </c>
      <c r="B4" s="526" t="s">
        <v>421</v>
      </c>
      <c r="C4" s="71" t="s">
        <v>422</v>
      </c>
      <c r="D4" s="528" t="s">
        <v>37</v>
      </c>
      <c r="E4" s="527" t="s">
        <v>421</v>
      </c>
      <c r="F4" s="525" t="s">
        <v>422</v>
      </c>
      <c r="G4" s="203" t="s">
        <v>37</v>
      </c>
    </row>
    <row r="5" spans="1:7" s="318" customFormat="1" ht="18" customHeight="1">
      <c r="A5" s="46"/>
      <c r="B5" s="77" t="s">
        <v>98</v>
      </c>
      <c r="C5" s="76" t="s">
        <v>98</v>
      </c>
      <c r="D5" s="204" t="s">
        <v>2</v>
      </c>
      <c r="E5" s="77" t="s">
        <v>34</v>
      </c>
      <c r="F5" s="76" t="s">
        <v>34</v>
      </c>
      <c r="G5" s="204" t="s">
        <v>2</v>
      </c>
    </row>
    <row r="6" spans="1:7">
      <c r="A6" s="344">
        <v>85121010001</v>
      </c>
      <c r="B6" s="345"/>
      <c r="C6" s="346"/>
      <c r="D6" s="347"/>
      <c r="E6" s="345"/>
      <c r="F6" s="346"/>
      <c r="G6" s="348"/>
    </row>
    <row r="7" spans="1:7">
      <c r="A7" s="328" t="s">
        <v>64</v>
      </c>
      <c r="B7" s="349">
        <f>零件!L5</f>
        <v>17083</v>
      </c>
      <c r="C7" s="350">
        <v>33694</v>
      </c>
      <c r="D7" s="513">
        <f>(B7-C7)/C7</f>
        <v>-0.49299578559981005</v>
      </c>
      <c r="E7" s="349">
        <f>零件!M5</f>
        <v>1415450</v>
      </c>
      <c r="F7" s="350">
        <v>2146141</v>
      </c>
      <c r="G7" s="513">
        <f>(E7-F7)/F7</f>
        <v>-0.34046737842480995</v>
      </c>
    </row>
    <row r="8" spans="1:7">
      <c r="A8" s="328" t="s">
        <v>65</v>
      </c>
      <c r="B8" s="349"/>
      <c r="C8" s="353"/>
      <c r="D8" s="352"/>
      <c r="E8" s="353"/>
      <c r="F8" s="350"/>
      <c r="G8" s="353"/>
    </row>
    <row r="9" spans="1:7">
      <c r="A9" s="330">
        <v>85121020009</v>
      </c>
      <c r="B9" s="354"/>
      <c r="C9" s="355"/>
      <c r="D9" s="355"/>
      <c r="E9" s="354"/>
      <c r="F9" s="354"/>
      <c r="G9" s="354"/>
    </row>
    <row r="10" spans="1:7">
      <c r="A10" s="328" t="s">
        <v>67</v>
      </c>
      <c r="B10" s="349">
        <f>零件!L8</f>
        <v>9660</v>
      </c>
      <c r="C10" s="350">
        <v>15861</v>
      </c>
      <c r="D10" s="513">
        <f>(B10-C10)/C10</f>
        <v>-0.39095895592963875</v>
      </c>
      <c r="E10" s="349">
        <f>零件!M8</f>
        <v>836569</v>
      </c>
      <c r="F10" s="350">
        <v>1135545</v>
      </c>
      <c r="G10" s="514">
        <f>(E10-F10)/F10</f>
        <v>-0.26328855307363425</v>
      </c>
    </row>
    <row r="11" spans="1:7">
      <c r="A11" s="328" t="s">
        <v>68</v>
      </c>
      <c r="B11" s="349"/>
      <c r="C11" s="353"/>
      <c r="D11" s="356"/>
      <c r="E11" s="353"/>
      <c r="F11" s="350"/>
      <c r="G11" s="353"/>
    </row>
    <row r="12" spans="1:7">
      <c r="A12" s="331">
        <v>87149120007</v>
      </c>
      <c r="B12" s="354"/>
      <c r="C12" s="355"/>
      <c r="D12" s="358"/>
      <c r="E12" s="359"/>
      <c r="F12" s="354"/>
      <c r="G12" s="359"/>
    </row>
    <row r="13" spans="1:7">
      <c r="A13" s="328" t="s">
        <v>70</v>
      </c>
      <c r="B13" s="349">
        <f>零件!L11</f>
        <v>2499598</v>
      </c>
      <c r="C13" s="350">
        <f>VLOOKUP(A12,[23]進出口值表查詢結果!$A$2:$E$24,4,0)</f>
        <v>3797291</v>
      </c>
      <c r="D13" s="513">
        <f>(B13-C13)/C13</f>
        <v>-0.34174178381377673</v>
      </c>
      <c r="E13" s="349">
        <f>零件!M11</f>
        <v>139171267</v>
      </c>
      <c r="F13" s="350">
        <f>VLOOKUP(A12,[23]進出口值表查詢結果!$A$2:$E$24,3,0)</f>
        <v>163949828</v>
      </c>
      <c r="G13" s="513">
        <f>(E13-F13)/F13</f>
        <v>-0.15113502284369582</v>
      </c>
    </row>
    <row r="14" spans="1:7">
      <c r="A14" s="328" t="s">
        <v>71</v>
      </c>
      <c r="B14" s="356"/>
      <c r="C14" s="481"/>
      <c r="D14" s="349"/>
      <c r="E14" s="353"/>
      <c r="F14" s="350"/>
      <c r="G14" s="353"/>
    </row>
    <row r="15" spans="1:7">
      <c r="A15" s="331">
        <v>87149200108</v>
      </c>
      <c r="B15" s="354"/>
      <c r="C15" s="357"/>
      <c r="D15" s="358"/>
      <c r="E15" s="359"/>
      <c r="F15" s="360"/>
      <c r="G15" s="359"/>
    </row>
    <row r="16" spans="1:7">
      <c r="A16" s="328" t="s">
        <v>72</v>
      </c>
      <c r="B16" s="349">
        <f>零件!L14</f>
        <v>339659</v>
      </c>
      <c r="C16" s="350">
        <f>VLOOKUP(A15,[23]進出口值表查詢結果!$A$2:$E$24,4,0)</f>
        <v>544982</v>
      </c>
      <c r="D16" s="513">
        <f>(B16-C16)/C16</f>
        <v>-0.37675189272306242</v>
      </c>
      <c r="E16" s="349">
        <f>零件!M14</f>
        <v>22791722</v>
      </c>
      <c r="F16" s="350">
        <f>VLOOKUP(A15,[23]進出口值表查詢結果!$A$2:$E$24,3,0)</f>
        <v>25252866</v>
      </c>
      <c r="G16" s="513">
        <f>(E16-F16)/F16</f>
        <v>-9.7459987313915183E-2</v>
      </c>
    </row>
    <row r="17" spans="1:7">
      <c r="A17" s="328"/>
      <c r="B17" s="349"/>
      <c r="C17" s="351"/>
      <c r="D17" s="349"/>
      <c r="E17" s="353"/>
      <c r="F17" s="350"/>
      <c r="G17" s="353"/>
    </row>
    <row r="18" spans="1:7">
      <c r="A18" s="331">
        <v>87149200206</v>
      </c>
      <c r="B18" s="354"/>
      <c r="C18" s="357"/>
      <c r="D18" s="358"/>
      <c r="E18" s="359"/>
      <c r="F18" s="360"/>
      <c r="G18" s="359"/>
    </row>
    <row r="19" spans="1:7">
      <c r="A19" s="328" t="s">
        <v>58</v>
      </c>
      <c r="B19" s="349">
        <f>零件!L17</f>
        <v>42406</v>
      </c>
      <c r="C19" s="350">
        <f>VLOOKUP(A18,[23]進出口值表查詢結果!$A$2:$E$24,4,0)</f>
        <v>84626</v>
      </c>
      <c r="D19" s="513">
        <f>(B19-C19)/C19</f>
        <v>-0.49890104695956328</v>
      </c>
      <c r="E19" s="349">
        <f>零件!M17</f>
        <v>2743571</v>
      </c>
      <c r="F19" s="350">
        <f>VLOOKUP(A18,[23]進出口值表查詢結果!$A$2:$E$24,3,0)</f>
        <v>5032996</v>
      </c>
      <c r="G19" s="514">
        <f>(E19-F19)/F19</f>
        <v>-0.45488313521409512</v>
      </c>
    </row>
    <row r="20" spans="1:7">
      <c r="A20" s="328"/>
      <c r="B20" s="349"/>
      <c r="C20" s="351"/>
      <c r="D20" s="349"/>
      <c r="E20" s="353"/>
      <c r="F20" s="350"/>
      <c r="G20" s="353"/>
    </row>
    <row r="21" spans="1:7">
      <c r="A21" s="331">
        <v>87149200304</v>
      </c>
      <c r="B21" s="354"/>
      <c r="C21" s="357"/>
      <c r="D21" s="358"/>
      <c r="E21" s="359"/>
      <c r="F21" s="360"/>
      <c r="G21" s="359"/>
    </row>
    <row r="22" spans="1:7">
      <c r="A22" s="328" t="s">
        <v>59</v>
      </c>
      <c r="B22" s="349">
        <f>零件!L20</f>
        <v>58716</v>
      </c>
      <c r="C22" s="350">
        <f>VLOOKUP(A21,[23]進出口值表查詢結果!$A$2:$E$24,4,0)</f>
        <v>127343</v>
      </c>
      <c r="D22" s="514">
        <f>(B22-C22)/C22</f>
        <v>-0.53891458501841483</v>
      </c>
      <c r="E22" s="349">
        <f>零件!M20</f>
        <v>3137046</v>
      </c>
      <c r="F22" s="350">
        <f>VLOOKUP(A21,[23]進出口值表查詢結果!$A$2:$E$24,3,0)</f>
        <v>3694481</v>
      </c>
      <c r="G22" s="513">
        <f>(E22-F22)/F22</f>
        <v>-0.15088316870488711</v>
      </c>
    </row>
    <row r="23" spans="1:7">
      <c r="A23" s="331">
        <v>87149310007</v>
      </c>
      <c r="B23" s="354"/>
      <c r="C23" s="357"/>
      <c r="D23" s="358"/>
      <c r="E23" s="359"/>
      <c r="F23" s="360"/>
      <c r="G23" s="359"/>
    </row>
    <row r="24" spans="1:7">
      <c r="A24" s="328" t="s">
        <v>73</v>
      </c>
      <c r="B24" s="349">
        <f>零件!L22</f>
        <v>500404</v>
      </c>
      <c r="C24" s="350">
        <f>VLOOKUP(A23,[23]進出口值表查詢結果!$A$2:$E$24,4,0)</f>
        <v>839243</v>
      </c>
      <c r="D24" s="514">
        <f>(B24-C24)/C24</f>
        <v>-0.40374361180254109</v>
      </c>
      <c r="E24" s="349">
        <f>零件!M22</f>
        <v>17185221</v>
      </c>
      <c r="F24" s="350">
        <f>VLOOKUP(A23,[23]進出口值表查詢結果!$A$2:$E$24,3,0)</f>
        <v>23037349</v>
      </c>
      <c r="G24" s="514">
        <f>(E24-F24)/F24</f>
        <v>-0.2540278397484016</v>
      </c>
    </row>
    <row r="25" spans="1:7">
      <c r="A25" s="328" t="s">
        <v>100</v>
      </c>
      <c r="B25" s="349"/>
      <c r="C25" s="351"/>
      <c r="D25" s="349"/>
      <c r="E25" s="353"/>
      <c r="F25" s="350"/>
      <c r="G25" s="353"/>
    </row>
    <row r="26" spans="1:7">
      <c r="A26" s="331">
        <v>87149320103</v>
      </c>
      <c r="B26" s="354"/>
      <c r="C26" s="357"/>
      <c r="D26" s="358"/>
      <c r="E26" s="359"/>
      <c r="F26" s="360"/>
      <c r="G26" s="359"/>
    </row>
    <row r="27" spans="1:7">
      <c r="A27" s="328" t="s">
        <v>406</v>
      </c>
      <c r="B27" s="349">
        <f>零件!L26</f>
        <v>51393</v>
      </c>
      <c r="C27" s="350">
        <f>VLOOKUP(A26,[23]進出口值表查詢結果!$A$2:$E$24,4,0)</f>
        <v>1308</v>
      </c>
      <c r="D27" s="513">
        <v>0</v>
      </c>
      <c r="E27" s="349">
        <f>零件!M26</f>
        <v>2763078</v>
      </c>
      <c r="F27" s="350">
        <f>VLOOKUP(A26,[23]進出口值表查詢結果!$A$2:$E$24,3,0)</f>
        <v>60634</v>
      </c>
      <c r="G27" s="513">
        <v>0</v>
      </c>
    </row>
    <row r="28" spans="1:7">
      <c r="A28" s="331">
        <v>87149410006</v>
      </c>
      <c r="B28" s="354"/>
      <c r="C28" s="357"/>
      <c r="D28" s="358"/>
      <c r="E28" s="359"/>
      <c r="F28" s="360"/>
      <c r="G28" s="359"/>
    </row>
    <row r="29" spans="1:7">
      <c r="A29" s="328" t="s">
        <v>76</v>
      </c>
      <c r="B29" s="349">
        <f>零件!L28</f>
        <v>29888</v>
      </c>
      <c r="C29" s="350">
        <f>VLOOKUP(A28,[23]進出口值表查詢結果!$A$2:$E$24,4,0)</f>
        <v>71496</v>
      </c>
      <c r="D29" s="513">
        <f>(B29-C29)/C29</f>
        <v>-0.58196262727984782</v>
      </c>
      <c r="E29" s="349">
        <f>零件!M28</f>
        <v>1226629</v>
      </c>
      <c r="F29" s="350">
        <f>VLOOKUP(A28,[23]進出口值表查詢結果!$A$2:$E$24,3,0)</f>
        <v>6241553</v>
      </c>
      <c r="G29" s="513">
        <f>(E29-F29)/F29</f>
        <v>-0.80347375084374029</v>
      </c>
    </row>
    <row r="30" spans="1:7">
      <c r="A30" s="328" t="s">
        <v>77</v>
      </c>
      <c r="B30" s="349"/>
      <c r="C30" s="351"/>
      <c r="D30" s="349"/>
      <c r="E30" s="353"/>
      <c r="F30" s="350"/>
      <c r="G30" s="353"/>
    </row>
    <row r="31" spans="1:7">
      <c r="A31" s="331">
        <v>87149490009</v>
      </c>
      <c r="B31" s="354"/>
      <c r="C31" s="357"/>
      <c r="D31" s="358"/>
      <c r="E31" s="359"/>
      <c r="F31" s="360"/>
      <c r="G31" s="359"/>
    </row>
    <row r="32" spans="1:7">
      <c r="A32" s="328" t="s">
        <v>78</v>
      </c>
      <c r="B32" s="349">
        <f>零件!L31</f>
        <v>592276</v>
      </c>
      <c r="C32" s="350">
        <f>VLOOKUP(A31,[23]進出口值表查詢結果!$A$2:$E$24,4,0)</f>
        <v>1554926</v>
      </c>
      <c r="D32" s="513">
        <f>(B32-C32)/C32</f>
        <v>-0.61909698596589158</v>
      </c>
      <c r="E32" s="349">
        <f>零件!M31</f>
        <v>46681651</v>
      </c>
      <c r="F32" s="350">
        <f>VLOOKUP(A31,[23]進出口值表查詢結果!$A$2:$E$24,3,0)</f>
        <v>49104159</v>
      </c>
      <c r="G32" s="513">
        <f>(E32-F32)/F32</f>
        <v>-4.9334069645709647E-2</v>
      </c>
    </row>
    <row r="33" spans="1:7">
      <c r="A33" s="328" t="s">
        <v>79</v>
      </c>
      <c r="B33" s="349"/>
      <c r="C33" s="351"/>
      <c r="D33" s="349"/>
      <c r="E33" s="353"/>
      <c r="F33" s="350"/>
      <c r="G33" s="353"/>
    </row>
    <row r="34" spans="1:7">
      <c r="A34" s="331">
        <v>87149500007</v>
      </c>
      <c r="B34" s="358"/>
      <c r="C34" s="357"/>
      <c r="D34" s="358"/>
      <c r="E34" s="359"/>
      <c r="F34" s="360"/>
      <c r="G34" s="359"/>
    </row>
    <row r="35" spans="1:7">
      <c r="A35" s="328" t="s">
        <v>80</v>
      </c>
      <c r="B35" s="349">
        <f>零件!L34</f>
        <v>273048</v>
      </c>
      <c r="C35" s="350">
        <f>VLOOKUP(A34,[23]進出口值表查詢結果!$A$2:$E$24,4,0)</f>
        <v>649370</v>
      </c>
      <c r="D35" s="513">
        <f>(B35-C35)/C35</f>
        <v>-0.57951861034541174</v>
      </c>
      <c r="E35" s="349">
        <f>零件!M34</f>
        <v>4134221</v>
      </c>
      <c r="F35" s="350">
        <f>VLOOKUP(A34,[23]進出口值表查詢結果!$A$2:$E$24,3,0)</f>
        <v>9955961</v>
      </c>
      <c r="G35" s="513">
        <f>(E35-F35)/F35</f>
        <v>-0.5847491769001506</v>
      </c>
    </row>
    <row r="36" spans="1:7">
      <c r="A36" s="331">
        <v>87149610004</v>
      </c>
      <c r="B36" s="358"/>
      <c r="C36" s="357"/>
      <c r="D36" s="358"/>
      <c r="E36" s="359"/>
      <c r="F36" s="360"/>
      <c r="G36" s="359"/>
    </row>
    <row r="37" spans="1:7">
      <c r="A37" s="328" t="s">
        <v>81</v>
      </c>
      <c r="B37" s="349">
        <f>零件!L36</f>
        <v>102415</v>
      </c>
      <c r="C37" s="350">
        <f>VLOOKUP(A36,[23]進出口值表查詢結果!$A$2:$E$24,4,0)</f>
        <v>355560</v>
      </c>
      <c r="D37" s="514">
        <f>(B37-C37)/C37</f>
        <v>-0.71196141298233773</v>
      </c>
      <c r="E37" s="349">
        <f>零件!M36</f>
        <v>1077435</v>
      </c>
      <c r="F37" s="350">
        <f>VLOOKUP(A36,[23]進出口值表查詢結果!$A$2:$E$24,3,0)</f>
        <v>4134337</v>
      </c>
      <c r="G37" s="514">
        <f>(E37-F37)/F37</f>
        <v>-0.7393935230727442</v>
      </c>
    </row>
    <row r="38" spans="1:7">
      <c r="A38" s="331">
        <v>87149620002</v>
      </c>
      <c r="B38" s="354"/>
      <c r="C38" s="357"/>
      <c r="D38" s="358"/>
      <c r="E38" s="359"/>
      <c r="F38" s="360"/>
      <c r="G38" s="359"/>
    </row>
    <row r="39" spans="1:7">
      <c r="A39" s="328" t="s">
        <v>82</v>
      </c>
      <c r="B39" s="349">
        <f>零件!L38</f>
        <v>473808</v>
      </c>
      <c r="C39" s="350">
        <f>VLOOKUP(A38,[23]進出口值表查詢結果!$A$2:$E$24,4,0)</f>
        <v>899878</v>
      </c>
      <c r="D39" s="514">
        <f>(B39-C39)/C39</f>
        <v>-0.47347529331753863</v>
      </c>
      <c r="E39" s="349">
        <f>零件!M38</f>
        <v>14154716</v>
      </c>
      <c r="F39" s="350">
        <f>VLOOKUP(A38,[23]進出口值表查詢結果!$A$2:$E$24,3,0)</f>
        <v>17232998</v>
      </c>
      <c r="G39" s="514">
        <f>(E39-F39)/F39</f>
        <v>-0.17862718953486792</v>
      </c>
    </row>
    <row r="40" spans="1:7">
      <c r="A40" s="328" t="s">
        <v>77</v>
      </c>
      <c r="B40" s="349"/>
      <c r="C40" s="349"/>
      <c r="D40" s="349"/>
      <c r="E40" s="353"/>
      <c r="F40" s="350"/>
      <c r="G40" s="353"/>
    </row>
    <row r="41" spans="1:7">
      <c r="A41" s="331">
        <v>73151100209</v>
      </c>
      <c r="B41" s="354"/>
      <c r="C41" s="354"/>
      <c r="D41" s="358"/>
      <c r="E41" s="359"/>
      <c r="F41" s="359"/>
      <c r="G41" s="359"/>
    </row>
    <row r="42" spans="1:7">
      <c r="A42" s="328" t="s">
        <v>83</v>
      </c>
      <c r="B42" s="349">
        <f>零件!L41</f>
        <v>370863</v>
      </c>
      <c r="C42" s="350">
        <v>881721</v>
      </c>
      <c r="D42" s="514">
        <f>(B42-C42)/C42</f>
        <v>-0.5793873572252447</v>
      </c>
      <c r="E42" s="349">
        <f>零件!M41</f>
        <v>4678715</v>
      </c>
      <c r="F42" s="350">
        <v>7582717</v>
      </c>
      <c r="G42" s="514">
        <f>(E42-F42)/F42</f>
        <v>-0.38297644498667166</v>
      </c>
    </row>
    <row r="43" spans="1:7">
      <c r="A43" s="328" t="s">
        <v>84</v>
      </c>
      <c r="B43" s="349"/>
      <c r="C43" s="351"/>
      <c r="D43" s="349"/>
      <c r="E43" s="353"/>
      <c r="F43" s="350"/>
      <c r="G43" s="353"/>
    </row>
    <row r="44" spans="1:7">
      <c r="A44" s="331">
        <v>87149990111</v>
      </c>
      <c r="B44" s="354"/>
      <c r="C44" s="357"/>
      <c r="D44" s="358"/>
      <c r="E44" s="359"/>
      <c r="F44" s="360"/>
      <c r="G44" s="359"/>
    </row>
    <row r="45" spans="1:7">
      <c r="A45" s="332" t="s">
        <v>85</v>
      </c>
      <c r="B45" s="349">
        <f>零件!L44</f>
        <v>210752</v>
      </c>
      <c r="C45" s="350">
        <f>VLOOKUP(A44,[23]進出口值表查詢結果!$A$2:$E$24,4,0)</f>
        <v>571058</v>
      </c>
      <c r="D45" s="513">
        <f>(B45-C45)/C45</f>
        <v>-0.63094466761694956</v>
      </c>
      <c r="E45" s="349">
        <f>零件!M44</f>
        <v>20590251</v>
      </c>
      <c r="F45" s="350">
        <f>VLOOKUP(A44,[23]進出口值表查詢結果!$A$2:$E$24,3,0)</f>
        <v>26910960</v>
      </c>
      <c r="G45" s="513">
        <f>(E45-F45)/F45</f>
        <v>-0.23487489855434365</v>
      </c>
    </row>
    <row r="46" spans="1:7">
      <c r="A46" s="328" t="s">
        <v>86</v>
      </c>
      <c r="B46" s="349"/>
      <c r="C46" s="351"/>
      <c r="D46" s="349"/>
      <c r="E46" s="353"/>
      <c r="F46" s="350"/>
      <c r="G46" s="353"/>
    </row>
    <row r="47" spans="1:7">
      <c r="A47" s="331">
        <v>87149320906</v>
      </c>
      <c r="B47" s="354"/>
      <c r="C47" s="357"/>
      <c r="D47" s="358"/>
      <c r="E47" s="359"/>
      <c r="F47" s="360"/>
      <c r="G47" s="359"/>
    </row>
    <row r="48" spans="1:7">
      <c r="A48" s="328" t="s">
        <v>408</v>
      </c>
      <c r="B48" s="349">
        <f>零件!L47</f>
        <v>191041</v>
      </c>
      <c r="C48" s="350">
        <f>VLOOKUP(A47,[23]進出口值表查詢結果!$A$2:$E$24,4,0)</f>
        <v>43980</v>
      </c>
      <c r="D48" s="513">
        <v>0</v>
      </c>
      <c r="E48" s="349">
        <f>零件!M47</f>
        <v>6053986</v>
      </c>
      <c r="F48" s="350">
        <f>VLOOKUP(A47,[23]進出口值表查詢結果!$A$2:$E$24,3,0)</f>
        <v>814067</v>
      </c>
      <c r="G48" s="513">
        <v>0</v>
      </c>
    </row>
    <row r="49" spans="1:7">
      <c r="A49" s="331">
        <v>87149990139</v>
      </c>
      <c r="B49" s="354"/>
      <c r="C49" s="357"/>
      <c r="D49" s="358"/>
      <c r="E49" s="359"/>
      <c r="F49" s="360"/>
      <c r="G49" s="359"/>
    </row>
    <row r="50" spans="1:7">
      <c r="A50" s="328" t="s">
        <v>87</v>
      </c>
      <c r="B50" s="349">
        <f>零件!L49</f>
        <v>41492</v>
      </c>
      <c r="C50" s="350">
        <f>VLOOKUP(A49,[23]進出口值表查詢結果!$A$2:$E$24,4,0)</f>
        <v>100679</v>
      </c>
      <c r="D50" s="514">
        <f>(B50-C50)/C50</f>
        <v>-0.58787830630022153</v>
      </c>
      <c r="E50" s="349">
        <f>零件!M49</f>
        <v>587037</v>
      </c>
      <c r="F50" s="350">
        <f>VLOOKUP(A49,[23]進出口值表查詢結果!$A$2:$E$24,3,0)</f>
        <v>841474</v>
      </c>
      <c r="G50" s="514">
        <f>(E50-F50)/F50</f>
        <v>-0.30237060206257116</v>
      </c>
    </row>
    <row r="51" spans="1:7">
      <c r="A51" s="331">
        <v>87149990148</v>
      </c>
      <c r="B51" s="354"/>
      <c r="C51" s="357"/>
      <c r="D51" s="358"/>
      <c r="E51" s="359"/>
      <c r="F51" s="360"/>
      <c r="G51" s="359"/>
    </row>
    <row r="52" spans="1:7">
      <c r="A52" s="333" t="s">
        <v>88</v>
      </c>
      <c r="B52" s="349">
        <f>零件!L51</f>
        <v>71368</v>
      </c>
      <c r="C52" s="350">
        <f>VLOOKUP(A51,[23]進出口值表查詢結果!$A$2:$E$24,4,0)</f>
        <v>172656</v>
      </c>
      <c r="D52" s="513">
        <f>(B52-C52)/C52</f>
        <v>-0.58664627930682978</v>
      </c>
      <c r="E52" s="349">
        <f>零件!M51</f>
        <v>1760648</v>
      </c>
      <c r="F52" s="350">
        <f>VLOOKUP(A51,[23]進出口值表查詢結果!$A$2:$E$24,3,0)</f>
        <v>3008103</v>
      </c>
      <c r="G52" s="513">
        <f>(E52-F52)/F52</f>
        <v>-0.41469823340490669</v>
      </c>
    </row>
    <row r="53" spans="1:7">
      <c r="A53" s="328" t="s">
        <v>89</v>
      </c>
      <c r="B53" s="349"/>
      <c r="C53" s="351"/>
      <c r="D53" s="349"/>
      <c r="E53" s="353"/>
      <c r="F53" s="350"/>
      <c r="G53" s="353"/>
    </row>
    <row r="54" spans="1:7">
      <c r="A54" s="331">
        <v>87149990157</v>
      </c>
      <c r="B54" s="354"/>
      <c r="C54" s="357"/>
      <c r="D54" s="358"/>
      <c r="E54" s="359"/>
      <c r="F54" s="360"/>
      <c r="G54" s="359"/>
    </row>
    <row r="55" spans="1:7">
      <c r="A55" s="328" t="s">
        <v>90</v>
      </c>
      <c r="B55" s="349">
        <f>零件!L54</f>
        <v>153651</v>
      </c>
      <c r="C55" s="350">
        <f>VLOOKUP(A54,[23]進出口值表查詢結果!$A$2:$E$24,4,0)</f>
        <v>310557</v>
      </c>
      <c r="D55" s="514">
        <f>(B55-C55)/C55</f>
        <v>-0.5052405838541717</v>
      </c>
      <c r="E55" s="349">
        <f>零件!M54</f>
        <v>4388184</v>
      </c>
      <c r="F55" s="350">
        <f>VLOOKUP(A54,[23]進出口值表查詢結果!$A$2:$E$24,3,0)</f>
        <v>5970721</v>
      </c>
      <c r="G55" s="514">
        <f>(E55-F55)/F55</f>
        <v>-0.26504956436584459</v>
      </c>
    </row>
    <row r="56" spans="1:7">
      <c r="A56" s="328" t="s">
        <v>91</v>
      </c>
      <c r="B56" s="349"/>
      <c r="C56" s="351"/>
      <c r="D56" s="349"/>
      <c r="E56" s="353"/>
      <c r="F56" s="350"/>
      <c r="G56" s="353"/>
    </row>
    <row r="57" spans="1:7">
      <c r="A57" s="331">
        <v>87149990166</v>
      </c>
      <c r="B57" s="354"/>
      <c r="C57" s="357"/>
      <c r="D57" s="358"/>
      <c r="E57" s="359"/>
      <c r="F57" s="360"/>
      <c r="G57" s="359"/>
    </row>
    <row r="58" spans="1:7">
      <c r="A58" s="328" t="s">
        <v>88</v>
      </c>
      <c r="B58" s="349">
        <f>零件!L57</f>
        <v>171698</v>
      </c>
      <c r="C58" s="350">
        <f>VLOOKUP(A57,[23]進出口值表查詢結果!$A$2:$E$24,4,0)</f>
        <v>286503</v>
      </c>
      <c r="D58" s="513">
        <f>(B58-C58)/C58</f>
        <v>-0.40071133635598927</v>
      </c>
      <c r="E58" s="349">
        <f>零件!M57</f>
        <v>7724404</v>
      </c>
      <c r="F58" s="350">
        <f>VLOOKUP(A57,[23]進出口值表查詢結果!$A$2:$E$24,3,0)</f>
        <v>10249361</v>
      </c>
      <c r="G58" s="513">
        <f>(E58-F58)/F58</f>
        <v>-0.246352626275921</v>
      </c>
    </row>
    <row r="59" spans="1:7">
      <c r="A59" s="331">
        <v>40115000008</v>
      </c>
      <c r="B59" s="358"/>
      <c r="C59" s="358"/>
      <c r="D59" s="361"/>
      <c r="E59" s="359"/>
      <c r="F59" s="359"/>
      <c r="G59" s="359"/>
    </row>
    <row r="60" spans="1:7">
      <c r="A60" s="328" t="s">
        <v>92</v>
      </c>
      <c r="B60" s="349">
        <f>零件!L59</f>
        <v>873645</v>
      </c>
      <c r="C60" s="350">
        <v>1256101</v>
      </c>
      <c r="D60" s="513">
        <f>(B60-C60)/C60</f>
        <v>-0.30447870035928637</v>
      </c>
      <c r="E60" s="349">
        <f>零件!M59</f>
        <v>8697689</v>
      </c>
      <c r="F60" s="350">
        <v>12389785</v>
      </c>
      <c r="G60" s="513">
        <f>(E60-F60)/F60</f>
        <v>-0.2979951629507695</v>
      </c>
    </row>
    <row r="61" spans="1:7">
      <c r="A61" s="328" t="s">
        <v>93</v>
      </c>
      <c r="B61" s="349"/>
      <c r="C61" s="350"/>
      <c r="D61" s="352"/>
      <c r="E61" s="353"/>
      <c r="F61" s="350"/>
      <c r="G61" s="516"/>
    </row>
    <row r="62" spans="1:7">
      <c r="A62" s="331">
        <v>40132000003</v>
      </c>
      <c r="B62" s="358"/>
      <c r="C62" s="358"/>
      <c r="D62" s="358"/>
      <c r="E62" s="359"/>
      <c r="F62" s="359"/>
      <c r="G62" s="359"/>
    </row>
    <row r="63" spans="1:7">
      <c r="A63" s="328" t="s">
        <v>94</v>
      </c>
      <c r="B63" s="349">
        <f>零件!L62</f>
        <v>153047</v>
      </c>
      <c r="C63" s="350">
        <v>252753</v>
      </c>
      <c r="D63" s="514">
        <f>(B63-C63)/C63</f>
        <v>-0.39447998638987469</v>
      </c>
      <c r="E63" s="349">
        <f>零件!M62</f>
        <v>981633</v>
      </c>
      <c r="F63" s="350">
        <v>1516404</v>
      </c>
      <c r="G63" s="513">
        <f>(E63-F63)/F63</f>
        <v>-0.35265733933701043</v>
      </c>
    </row>
    <row r="64" spans="1:7">
      <c r="A64" s="328" t="s">
        <v>95</v>
      </c>
      <c r="B64" s="349"/>
      <c r="C64" s="351"/>
      <c r="D64" s="352"/>
      <c r="E64" s="353"/>
      <c r="F64" s="350"/>
      <c r="G64" s="353"/>
    </row>
    <row r="65" spans="1:7">
      <c r="A65" s="362" t="s">
        <v>96</v>
      </c>
      <c r="B65" s="363">
        <f>SUM(B6:B64)-B64-B61-B20-B17-B11-B8</f>
        <v>7227911</v>
      </c>
      <c r="C65" s="452">
        <f>SUM(C6:C64)</f>
        <v>12851586</v>
      </c>
      <c r="D65" s="512">
        <f>(B65-C65)/C65</f>
        <v>-0.43758606914352827</v>
      </c>
      <c r="E65" s="451">
        <f>SUM(E7:E64)</f>
        <v>312781123</v>
      </c>
      <c r="F65" s="212">
        <f>SUM(F6:F64)</f>
        <v>380262440</v>
      </c>
      <c r="G65" s="512">
        <f>(E65-F65)/F65</f>
        <v>-0.17745985377887966</v>
      </c>
    </row>
    <row r="66" spans="1:7" ht="6" customHeight="1">
      <c r="E66" s="5"/>
      <c r="G66" s="321"/>
    </row>
    <row r="67" spans="1:7">
      <c r="A67" s="55" t="s">
        <v>32</v>
      </c>
    </row>
  </sheetData>
  <phoneticPr fontId="3" type="noConversion"/>
  <conditionalFormatting sqref="C9">
    <cfRule type="cellIs" dxfId="13" priority="9" operator="greaterThanOrEqual">
      <formula>0</formula>
    </cfRule>
    <cfRule type="cellIs" dxfId="12" priority="10" operator="lessThan">
      <formula>0</formula>
    </cfRule>
  </conditionalFormatting>
  <conditionalFormatting sqref="C12">
    <cfRule type="cellIs" dxfId="11" priority="7" operator="greaterThanOrEqual">
      <formula>0</formula>
    </cfRule>
    <cfRule type="cellIs" dxfId="10" priority="8" operator="lessThan">
      <formula>0</formula>
    </cfRule>
  </conditionalFormatting>
  <conditionalFormatting sqref="D1:D3 D6:D1048576">
    <cfRule type="cellIs" dxfId="9" priority="13" operator="greaterThanOrEqual">
      <formula>0</formula>
    </cfRule>
    <cfRule type="cellIs" dxfId="8" priority="14" operator="lessThan">
      <formula>0</formula>
    </cfRule>
  </conditionalFormatting>
  <conditionalFormatting sqref="F41">
    <cfRule type="cellIs" dxfId="7" priority="5" operator="greaterThanOrEqual">
      <formula>0</formula>
    </cfRule>
    <cfRule type="cellIs" dxfId="6" priority="6" operator="lessThan">
      <formula>0</formula>
    </cfRule>
  </conditionalFormatting>
  <conditionalFormatting sqref="F59">
    <cfRule type="cellIs" dxfId="5" priority="3" operator="greaterThanOrEqual">
      <formula>0</formula>
    </cfRule>
    <cfRule type="cellIs" dxfId="4" priority="4" operator="lessThan">
      <formula>0</formula>
    </cfRule>
  </conditionalFormatting>
  <conditionalFormatting sqref="F62">
    <cfRule type="cellIs" dxfId="3" priority="1" operator="greaterThanOrEqual">
      <formula>0</formula>
    </cfRule>
    <cfRule type="cellIs" dxfId="2" priority="2" operator="lessThan">
      <formula>0</formula>
    </cfRule>
  </conditionalFormatting>
  <conditionalFormatting sqref="G1:G3 G6:G1048576">
    <cfRule type="cellIs" dxfId="1" priority="11" operator="greaterThanOrEqual">
      <formula>0</formula>
    </cfRule>
    <cfRule type="cellIs" dxfId="0" priority="12" operator="lessThan">
      <formula>0</formula>
    </cfRule>
  </conditionalFormatting>
  <pageMargins left="0.31496062992125984" right="0.11811023622047245" top="0.15748031496062992" bottom="0.15748031496062992" header="0.31496062992125984" footer="0.31496062992125984"/>
  <pageSetup paperSize="9" scale="7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O179"/>
  <sheetViews>
    <sheetView zoomScale="95" zoomScaleNormal="95" workbookViewId="0">
      <selection activeCell="B2" sqref="B2"/>
    </sheetView>
  </sheetViews>
  <sheetFormatPr defaultColWidth="10" defaultRowHeight="16.5"/>
  <cols>
    <col min="1" max="1" width="3.75" style="13" customWidth="1"/>
    <col min="2" max="2" width="17.5" style="13" customWidth="1"/>
    <col min="3" max="3" width="17.75" style="321" customWidth="1"/>
    <col min="4" max="4" width="12.875" style="13" bestFit="1" customWidth="1"/>
    <col min="5" max="5" width="17.875" style="321" customWidth="1"/>
    <col min="6" max="6" width="2.125" style="13" customWidth="1"/>
    <col min="7" max="7" width="14.125" style="13" customWidth="1"/>
    <col min="8" max="8" width="15.75" style="321" customWidth="1"/>
    <col min="9" max="9" width="12.875" style="13" bestFit="1" customWidth="1"/>
    <col min="10" max="10" width="17.875" style="321" customWidth="1"/>
    <col min="11" max="258" width="10" style="13"/>
    <col min="259" max="259" width="23.25" style="13" customWidth="1"/>
    <col min="260" max="260" width="10" style="13"/>
    <col min="261" max="261" width="17.875" style="13" customWidth="1"/>
    <col min="262" max="262" width="2.125" style="13" customWidth="1"/>
    <col min="263" max="263" width="10" style="13"/>
    <col min="264" max="264" width="15.75" style="13" customWidth="1"/>
    <col min="265" max="265" width="10" style="13"/>
    <col min="266" max="266" width="17.875" style="13" customWidth="1"/>
    <col min="267" max="514" width="10" style="13"/>
    <col min="515" max="515" width="23.25" style="13" customWidth="1"/>
    <col min="516" max="516" width="10" style="13"/>
    <col min="517" max="517" width="17.875" style="13" customWidth="1"/>
    <col min="518" max="518" width="2.125" style="13" customWidth="1"/>
    <col min="519" max="519" width="10" style="13"/>
    <col min="520" max="520" width="15.75" style="13" customWidth="1"/>
    <col min="521" max="521" width="10" style="13"/>
    <col min="522" max="522" width="17.875" style="13" customWidth="1"/>
    <col min="523" max="770" width="10" style="13"/>
    <col min="771" max="771" width="23.25" style="13" customWidth="1"/>
    <col min="772" max="772" width="10" style="13"/>
    <col min="773" max="773" width="17.875" style="13" customWidth="1"/>
    <col min="774" max="774" width="2.125" style="13" customWidth="1"/>
    <col min="775" max="775" width="10" style="13"/>
    <col min="776" max="776" width="15.75" style="13" customWidth="1"/>
    <col min="777" max="777" width="10" style="13"/>
    <col min="778" max="778" width="17.875" style="13" customWidth="1"/>
    <col min="779" max="1026" width="10" style="13"/>
    <col min="1027" max="1027" width="23.25" style="13" customWidth="1"/>
    <col min="1028" max="1028" width="10" style="13"/>
    <col min="1029" max="1029" width="17.875" style="13" customWidth="1"/>
    <col min="1030" max="1030" width="2.125" style="13" customWidth="1"/>
    <col min="1031" max="1031" width="10" style="13"/>
    <col min="1032" max="1032" width="15.75" style="13" customWidth="1"/>
    <col min="1033" max="1033" width="10" style="13"/>
    <col min="1034" max="1034" width="17.875" style="13" customWidth="1"/>
    <col min="1035" max="1282" width="10" style="13"/>
    <col min="1283" max="1283" width="23.25" style="13" customWidth="1"/>
    <col min="1284" max="1284" width="10" style="13"/>
    <col min="1285" max="1285" width="17.875" style="13" customWidth="1"/>
    <col min="1286" max="1286" width="2.125" style="13" customWidth="1"/>
    <col min="1287" max="1287" width="10" style="13"/>
    <col min="1288" max="1288" width="15.75" style="13" customWidth="1"/>
    <col min="1289" max="1289" width="10" style="13"/>
    <col min="1290" max="1290" width="17.875" style="13" customWidth="1"/>
    <col min="1291" max="1538" width="10" style="13"/>
    <col min="1539" max="1539" width="23.25" style="13" customWidth="1"/>
    <col min="1540" max="1540" width="10" style="13"/>
    <col min="1541" max="1541" width="17.875" style="13" customWidth="1"/>
    <col min="1542" max="1542" width="2.125" style="13" customWidth="1"/>
    <col min="1543" max="1543" width="10" style="13"/>
    <col min="1544" max="1544" width="15.75" style="13" customWidth="1"/>
    <col min="1545" max="1545" width="10" style="13"/>
    <col min="1546" max="1546" width="17.875" style="13" customWidth="1"/>
    <col min="1547" max="1794" width="10" style="13"/>
    <col min="1795" max="1795" width="23.25" style="13" customWidth="1"/>
    <col min="1796" max="1796" width="10" style="13"/>
    <col min="1797" max="1797" width="17.875" style="13" customWidth="1"/>
    <col min="1798" max="1798" width="2.125" style="13" customWidth="1"/>
    <col min="1799" max="1799" width="10" style="13"/>
    <col min="1800" max="1800" width="15.75" style="13" customWidth="1"/>
    <col min="1801" max="1801" width="10" style="13"/>
    <col min="1802" max="1802" width="17.875" style="13" customWidth="1"/>
    <col min="1803" max="2050" width="10" style="13"/>
    <col min="2051" max="2051" width="23.25" style="13" customWidth="1"/>
    <col min="2052" max="2052" width="10" style="13"/>
    <col min="2053" max="2053" width="17.875" style="13" customWidth="1"/>
    <col min="2054" max="2054" width="2.125" style="13" customWidth="1"/>
    <col min="2055" max="2055" width="10" style="13"/>
    <col min="2056" max="2056" width="15.75" style="13" customWidth="1"/>
    <col min="2057" max="2057" width="10" style="13"/>
    <col min="2058" max="2058" width="17.875" style="13" customWidth="1"/>
    <col min="2059" max="2306" width="10" style="13"/>
    <col min="2307" max="2307" width="23.25" style="13" customWidth="1"/>
    <col min="2308" max="2308" width="10" style="13"/>
    <col min="2309" max="2309" width="17.875" style="13" customWidth="1"/>
    <col min="2310" max="2310" width="2.125" style="13" customWidth="1"/>
    <col min="2311" max="2311" width="10" style="13"/>
    <col min="2312" max="2312" width="15.75" style="13" customWidth="1"/>
    <col min="2313" max="2313" width="10" style="13"/>
    <col min="2314" max="2314" width="17.875" style="13" customWidth="1"/>
    <col min="2315" max="2562" width="10" style="13"/>
    <col min="2563" max="2563" width="23.25" style="13" customWidth="1"/>
    <col min="2564" max="2564" width="10" style="13"/>
    <col min="2565" max="2565" width="17.875" style="13" customWidth="1"/>
    <col min="2566" max="2566" width="2.125" style="13" customWidth="1"/>
    <col min="2567" max="2567" width="10" style="13"/>
    <col min="2568" max="2568" width="15.75" style="13" customWidth="1"/>
    <col min="2569" max="2569" width="10" style="13"/>
    <col min="2570" max="2570" width="17.875" style="13" customWidth="1"/>
    <col min="2571" max="2818" width="10" style="13"/>
    <col min="2819" max="2819" width="23.25" style="13" customWidth="1"/>
    <col min="2820" max="2820" width="10" style="13"/>
    <col min="2821" max="2821" width="17.875" style="13" customWidth="1"/>
    <col min="2822" max="2822" width="2.125" style="13" customWidth="1"/>
    <col min="2823" max="2823" width="10" style="13"/>
    <col min="2824" max="2824" width="15.75" style="13" customWidth="1"/>
    <col min="2825" max="2825" width="10" style="13"/>
    <col min="2826" max="2826" width="17.875" style="13" customWidth="1"/>
    <col min="2827" max="3074" width="10" style="13"/>
    <col min="3075" max="3075" width="23.25" style="13" customWidth="1"/>
    <col min="3076" max="3076" width="10" style="13"/>
    <col min="3077" max="3077" width="17.875" style="13" customWidth="1"/>
    <col min="3078" max="3078" width="2.125" style="13" customWidth="1"/>
    <col min="3079" max="3079" width="10" style="13"/>
    <col min="3080" max="3080" width="15.75" style="13" customWidth="1"/>
    <col min="3081" max="3081" width="10" style="13"/>
    <col min="3082" max="3082" width="17.875" style="13" customWidth="1"/>
    <col min="3083" max="3330" width="10" style="13"/>
    <col min="3331" max="3331" width="23.25" style="13" customWidth="1"/>
    <col min="3332" max="3332" width="10" style="13"/>
    <col min="3333" max="3333" width="17.875" style="13" customWidth="1"/>
    <col min="3334" max="3334" width="2.125" style="13" customWidth="1"/>
    <col min="3335" max="3335" width="10" style="13"/>
    <col min="3336" max="3336" width="15.75" style="13" customWidth="1"/>
    <col min="3337" max="3337" width="10" style="13"/>
    <col min="3338" max="3338" width="17.875" style="13" customWidth="1"/>
    <col min="3339" max="3586" width="10" style="13"/>
    <col min="3587" max="3587" width="23.25" style="13" customWidth="1"/>
    <col min="3588" max="3588" width="10" style="13"/>
    <col min="3589" max="3589" width="17.875" style="13" customWidth="1"/>
    <col min="3590" max="3590" width="2.125" style="13" customWidth="1"/>
    <col min="3591" max="3591" width="10" style="13"/>
    <col min="3592" max="3592" width="15.75" style="13" customWidth="1"/>
    <col min="3593" max="3593" width="10" style="13"/>
    <col min="3594" max="3594" width="17.875" style="13" customWidth="1"/>
    <col min="3595" max="3842" width="10" style="13"/>
    <col min="3843" max="3843" width="23.25" style="13" customWidth="1"/>
    <col min="3844" max="3844" width="10" style="13"/>
    <col min="3845" max="3845" width="17.875" style="13" customWidth="1"/>
    <col min="3846" max="3846" width="2.125" style="13" customWidth="1"/>
    <col min="3847" max="3847" width="10" style="13"/>
    <col min="3848" max="3848" width="15.75" style="13" customWidth="1"/>
    <col min="3849" max="3849" width="10" style="13"/>
    <col min="3850" max="3850" width="17.875" style="13" customWidth="1"/>
    <col min="3851" max="4098" width="10" style="13"/>
    <col min="4099" max="4099" width="23.25" style="13" customWidth="1"/>
    <col min="4100" max="4100" width="10" style="13"/>
    <col min="4101" max="4101" width="17.875" style="13" customWidth="1"/>
    <col min="4102" max="4102" width="2.125" style="13" customWidth="1"/>
    <col min="4103" max="4103" width="10" style="13"/>
    <col min="4104" max="4104" width="15.75" style="13" customWidth="1"/>
    <col min="4105" max="4105" width="10" style="13"/>
    <col min="4106" max="4106" width="17.875" style="13" customWidth="1"/>
    <col min="4107" max="4354" width="10" style="13"/>
    <col min="4355" max="4355" width="23.25" style="13" customWidth="1"/>
    <col min="4356" max="4356" width="10" style="13"/>
    <col min="4357" max="4357" width="17.875" style="13" customWidth="1"/>
    <col min="4358" max="4358" width="2.125" style="13" customWidth="1"/>
    <col min="4359" max="4359" width="10" style="13"/>
    <col min="4360" max="4360" width="15.75" style="13" customWidth="1"/>
    <col min="4361" max="4361" width="10" style="13"/>
    <col min="4362" max="4362" width="17.875" style="13" customWidth="1"/>
    <col min="4363" max="4610" width="10" style="13"/>
    <col min="4611" max="4611" width="23.25" style="13" customWidth="1"/>
    <col min="4612" max="4612" width="10" style="13"/>
    <col min="4613" max="4613" width="17.875" style="13" customWidth="1"/>
    <col min="4614" max="4614" width="2.125" style="13" customWidth="1"/>
    <col min="4615" max="4615" width="10" style="13"/>
    <col min="4616" max="4616" width="15.75" style="13" customWidth="1"/>
    <col min="4617" max="4617" width="10" style="13"/>
    <col min="4618" max="4618" width="17.875" style="13" customWidth="1"/>
    <col min="4619" max="4866" width="10" style="13"/>
    <col min="4867" max="4867" width="23.25" style="13" customWidth="1"/>
    <col min="4868" max="4868" width="10" style="13"/>
    <col min="4869" max="4869" width="17.875" style="13" customWidth="1"/>
    <col min="4870" max="4870" width="2.125" style="13" customWidth="1"/>
    <col min="4871" max="4871" width="10" style="13"/>
    <col min="4872" max="4872" width="15.75" style="13" customWidth="1"/>
    <col min="4873" max="4873" width="10" style="13"/>
    <col min="4874" max="4874" width="17.875" style="13" customWidth="1"/>
    <col min="4875" max="5122" width="10" style="13"/>
    <col min="5123" max="5123" width="23.25" style="13" customWidth="1"/>
    <col min="5124" max="5124" width="10" style="13"/>
    <col min="5125" max="5125" width="17.875" style="13" customWidth="1"/>
    <col min="5126" max="5126" width="2.125" style="13" customWidth="1"/>
    <col min="5127" max="5127" width="10" style="13"/>
    <col min="5128" max="5128" width="15.75" style="13" customWidth="1"/>
    <col min="5129" max="5129" width="10" style="13"/>
    <col min="5130" max="5130" width="17.875" style="13" customWidth="1"/>
    <col min="5131" max="5378" width="10" style="13"/>
    <col min="5379" max="5379" width="23.25" style="13" customWidth="1"/>
    <col min="5380" max="5380" width="10" style="13"/>
    <col min="5381" max="5381" width="17.875" style="13" customWidth="1"/>
    <col min="5382" max="5382" width="2.125" style="13" customWidth="1"/>
    <col min="5383" max="5383" width="10" style="13"/>
    <col min="5384" max="5384" width="15.75" style="13" customWidth="1"/>
    <col min="5385" max="5385" width="10" style="13"/>
    <col min="5386" max="5386" width="17.875" style="13" customWidth="1"/>
    <col min="5387" max="5634" width="10" style="13"/>
    <col min="5635" max="5635" width="23.25" style="13" customWidth="1"/>
    <col min="5636" max="5636" width="10" style="13"/>
    <col min="5637" max="5637" width="17.875" style="13" customWidth="1"/>
    <col min="5638" max="5638" width="2.125" style="13" customWidth="1"/>
    <col min="5639" max="5639" width="10" style="13"/>
    <col min="5640" max="5640" width="15.75" style="13" customWidth="1"/>
    <col min="5641" max="5641" width="10" style="13"/>
    <col min="5642" max="5642" width="17.875" style="13" customWidth="1"/>
    <col min="5643" max="5890" width="10" style="13"/>
    <col min="5891" max="5891" width="23.25" style="13" customWidth="1"/>
    <col min="5892" max="5892" width="10" style="13"/>
    <col min="5893" max="5893" width="17.875" style="13" customWidth="1"/>
    <col min="5894" max="5894" width="2.125" style="13" customWidth="1"/>
    <col min="5895" max="5895" width="10" style="13"/>
    <col min="5896" max="5896" width="15.75" style="13" customWidth="1"/>
    <col min="5897" max="5897" width="10" style="13"/>
    <col min="5898" max="5898" width="17.875" style="13" customWidth="1"/>
    <col min="5899" max="6146" width="10" style="13"/>
    <col min="6147" max="6147" width="23.25" style="13" customWidth="1"/>
    <col min="6148" max="6148" width="10" style="13"/>
    <col min="6149" max="6149" width="17.875" style="13" customWidth="1"/>
    <col min="6150" max="6150" width="2.125" style="13" customWidth="1"/>
    <col min="6151" max="6151" width="10" style="13"/>
    <col min="6152" max="6152" width="15.75" style="13" customWidth="1"/>
    <col min="6153" max="6153" width="10" style="13"/>
    <col min="6154" max="6154" width="17.875" style="13" customWidth="1"/>
    <col min="6155" max="6402" width="10" style="13"/>
    <col min="6403" max="6403" width="23.25" style="13" customWidth="1"/>
    <col min="6404" max="6404" width="10" style="13"/>
    <col min="6405" max="6405" width="17.875" style="13" customWidth="1"/>
    <col min="6406" max="6406" width="2.125" style="13" customWidth="1"/>
    <col min="6407" max="6407" width="10" style="13"/>
    <col min="6408" max="6408" width="15.75" style="13" customWidth="1"/>
    <col min="6409" max="6409" width="10" style="13"/>
    <col min="6410" max="6410" width="17.875" style="13" customWidth="1"/>
    <col min="6411" max="6658" width="10" style="13"/>
    <col min="6659" max="6659" width="23.25" style="13" customWidth="1"/>
    <col min="6660" max="6660" width="10" style="13"/>
    <col min="6661" max="6661" width="17.875" style="13" customWidth="1"/>
    <col min="6662" max="6662" width="2.125" style="13" customWidth="1"/>
    <col min="6663" max="6663" width="10" style="13"/>
    <col min="6664" max="6664" width="15.75" style="13" customWidth="1"/>
    <col min="6665" max="6665" width="10" style="13"/>
    <col min="6666" max="6666" width="17.875" style="13" customWidth="1"/>
    <col min="6667" max="6914" width="10" style="13"/>
    <col min="6915" max="6915" width="23.25" style="13" customWidth="1"/>
    <col min="6916" max="6916" width="10" style="13"/>
    <col min="6917" max="6917" width="17.875" style="13" customWidth="1"/>
    <col min="6918" max="6918" width="2.125" style="13" customWidth="1"/>
    <col min="6919" max="6919" width="10" style="13"/>
    <col min="6920" max="6920" width="15.75" style="13" customWidth="1"/>
    <col min="6921" max="6921" width="10" style="13"/>
    <col min="6922" max="6922" width="17.875" style="13" customWidth="1"/>
    <col min="6923" max="7170" width="10" style="13"/>
    <col min="7171" max="7171" width="23.25" style="13" customWidth="1"/>
    <col min="7172" max="7172" width="10" style="13"/>
    <col min="7173" max="7173" width="17.875" style="13" customWidth="1"/>
    <col min="7174" max="7174" width="2.125" style="13" customWidth="1"/>
    <col min="7175" max="7175" width="10" style="13"/>
    <col min="7176" max="7176" width="15.75" style="13" customWidth="1"/>
    <col min="7177" max="7177" width="10" style="13"/>
    <col min="7178" max="7178" width="17.875" style="13" customWidth="1"/>
    <col min="7179" max="7426" width="10" style="13"/>
    <col min="7427" max="7427" width="23.25" style="13" customWidth="1"/>
    <col min="7428" max="7428" width="10" style="13"/>
    <col min="7429" max="7429" width="17.875" style="13" customWidth="1"/>
    <col min="7430" max="7430" width="2.125" style="13" customWidth="1"/>
    <col min="7431" max="7431" width="10" style="13"/>
    <col min="7432" max="7432" width="15.75" style="13" customWidth="1"/>
    <col min="7433" max="7433" width="10" style="13"/>
    <col min="7434" max="7434" width="17.875" style="13" customWidth="1"/>
    <col min="7435" max="7682" width="10" style="13"/>
    <col min="7683" max="7683" width="23.25" style="13" customWidth="1"/>
    <col min="7684" max="7684" width="10" style="13"/>
    <col min="7685" max="7685" width="17.875" style="13" customWidth="1"/>
    <col min="7686" max="7686" width="2.125" style="13" customWidth="1"/>
    <col min="7687" max="7687" width="10" style="13"/>
    <col min="7688" max="7688" width="15.75" style="13" customWidth="1"/>
    <col min="7689" max="7689" width="10" style="13"/>
    <col min="7690" max="7690" width="17.875" style="13" customWidth="1"/>
    <col min="7691" max="7938" width="10" style="13"/>
    <col min="7939" max="7939" width="23.25" style="13" customWidth="1"/>
    <col min="7940" max="7940" width="10" style="13"/>
    <col min="7941" max="7941" width="17.875" style="13" customWidth="1"/>
    <col min="7942" max="7942" width="2.125" style="13" customWidth="1"/>
    <col min="7943" max="7943" width="10" style="13"/>
    <col min="7944" max="7944" width="15.75" style="13" customWidth="1"/>
    <col min="7945" max="7945" width="10" style="13"/>
    <col min="7946" max="7946" width="17.875" style="13" customWidth="1"/>
    <col min="7947" max="8194" width="10" style="13"/>
    <col min="8195" max="8195" width="23.25" style="13" customWidth="1"/>
    <col min="8196" max="8196" width="10" style="13"/>
    <col min="8197" max="8197" width="17.875" style="13" customWidth="1"/>
    <col min="8198" max="8198" width="2.125" style="13" customWidth="1"/>
    <col min="8199" max="8199" width="10" style="13"/>
    <col min="8200" max="8200" width="15.75" style="13" customWidth="1"/>
    <col min="8201" max="8201" width="10" style="13"/>
    <col min="8202" max="8202" width="17.875" style="13" customWidth="1"/>
    <col min="8203" max="8450" width="10" style="13"/>
    <col min="8451" max="8451" width="23.25" style="13" customWidth="1"/>
    <col min="8452" max="8452" width="10" style="13"/>
    <col min="8453" max="8453" width="17.875" style="13" customWidth="1"/>
    <col min="8454" max="8454" width="2.125" style="13" customWidth="1"/>
    <col min="8455" max="8455" width="10" style="13"/>
    <col min="8456" max="8456" width="15.75" style="13" customWidth="1"/>
    <col min="8457" max="8457" width="10" style="13"/>
    <col min="8458" max="8458" width="17.875" style="13" customWidth="1"/>
    <col min="8459" max="8706" width="10" style="13"/>
    <col min="8707" max="8707" width="23.25" style="13" customWidth="1"/>
    <col min="8708" max="8708" width="10" style="13"/>
    <col min="8709" max="8709" width="17.875" style="13" customWidth="1"/>
    <col min="8710" max="8710" width="2.125" style="13" customWidth="1"/>
    <col min="8711" max="8711" width="10" style="13"/>
    <col min="8712" max="8712" width="15.75" style="13" customWidth="1"/>
    <col min="8713" max="8713" width="10" style="13"/>
    <col min="8714" max="8714" width="17.875" style="13" customWidth="1"/>
    <col min="8715" max="8962" width="10" style="13"/>
    <col min="8963" max="8963" width="23.25" style="13" customWidth="1"/>
    <col min="8964" max="8964" width="10" style="13"/>
    <col min="8965" max="8965" width="17.875" style="13" customWidth="1"/>
    <col min="8966" max="8966" width="2.125" style="13" customWidth="1"/>
    <col min="8967" max="8967" width="10" style="13"/>
    <col min="8968" max="8968" width="15.75" style="13" customWidth="1"/>
    <col min="8969" max="8969" width="10" style="13"/>
    <col min="8970" max="8970" width="17.875" style="13" customWidth="1"/>
    <col min="8971" max="9218" width="10" style="13"/>
    <col min="9219" max="9219" width="23.25" style="13" customWidth="1"/>
    <col min="9220" max="9220" width="10" style="13"/>
    <col min="9221" max="9221" width="17.875" style="13" customWidth="1"/>
    <col min="9222" max="9222" width="2.125" style="13" customWidth="1"/>
    <col min="9223" max="9223" width="10" style="13"/>
    <col min="9224" max="9224" width="15.75" style="13" customWidth="1"/>
    <col min="9225" max="9225" width="10" style="13"/>
    <col min="9226" max="9226" width="17.875" style="13" customWidth="1"/>
    <col min="9227" max="9474" width="10" style="13"/>
    <col min="9475" max="9475" width="23.25" style="13" customWidth="1"/>
    <col min="9476" max="9476" width="10" style="13"/>
    <col min="9477" max="9477" width="17.875" style="13" customWidth="1"/>
    <col min="9478" max="9478" width="2.125" style="13" customWidth="1"/>
    <col min="9479" max="9479" width="10" style="13"/>
    <col min="9480" max="9480" width="15.75" style="13" customWidth="1"/>
    <col min="9481" max="9481" width="10" style="13"/>
    <col min="9482" max="9482" width="17.875" style="13" customWidth="1"/>
    <col min="9483" max="9730" width="10" style="13"/>
    <col min="9731" max="9731" width="23.25" style="13" customWidth="1"/>
    <col min="9732" max="9732" width="10" style="13"/>
    <col min="9733" max="9733" width="17.875" style="13" customWidth="1"/>
    <col min="9734" max="9734" width="2.125" style="13" customWidth="1"/>
    <col min="9735" max="9735" width="10" style="13"/>
    <col min="9736" max="9736" width="15.75" style="13" customWidth="1"/>
    <col min="9737" max="9737" width="10" style="13"/>
    <col min="9738" max="9738" width="17.875" style="13" customWidth="1"/>
    <col min="9739" max="9986" width="10" style="13"/>
    <col min="9987" max="9987" width="23.25" style="13" customWidth="1"/>
    <col min="9988" max="9988" width="10" style="13"/>
    <col min="9989" max="9989" width="17.875" style="13" customWidth="1"/>
    <col min="9990" max="9990" width="2.125" style="13" customWidth="1"/>
    <col min="9991" max="9991" width="10" style="13"/>
    <col min="9992" max="9992" width="15.75" style="13" customWidth="1"/>
    <col min="9993" max="9993" width="10" style="13"/>
    <col min="9994" max="9994" width="17.875" style="13" customWidth="1"/>
    <col min="9995" max="10242" width="10" style="13"/>
    <col min="10243" max="10243" width="23.25" style="13" customWidth="1"/>
    <col min="10244" max="10244" width="10" style="13"/>
    <col min="10245" max="10245" width="17.875" style="13" customWidth="1"/>
    <col min="10246" max="10246" width="2.125" style="13" customWidth="1"/>
    <col min="10247" max="10247" width="10" style="13"/>
    <col min="10248" max="10248" width="15.75" style="13" customWidth="1"/>
    <col min="10249" max="10249" width="10" style="13"/>
    <col min="10250" max="10250" width="17.875" style="13" customWidth="1"/>
    <col min="10251" max="10498" width="10" style="13"/>
    <col min="10499" max="10499" width="23.25" style="13" customWidth="1"/>
    <col min="10500" max="10500" width="10" style="13"/>
    <col min="10501" max="10501" width="17.875" style="13" customWidth="1"/>
    <col min="10502" max="10502" width="2.125" style="13" customWidth="1"/>
    <col min="10503" max="10503" width="10" style="13"/>
    <col min="10504" max="10504" width="15.75" style="13" customWidth="1"/>
    <col min="10505" max="10505" width="10" style="13"/>
    <col min="10506" max="10506" width="17.875" style="13" customWidth="1"/>
    <col min="10507" max="10754" width="10" style="13"/>
    <col min="10755" max="10755" width="23.25" style="13" customWidth="1"/>
    <col min="10756" max="10756" width="10" style="13"/>
    <col min="10757" max="10757" width="17.875" style="13" customWidth="1"/>
    <col min="10758" max="10758" width="2.125" style="13" customWidth="1"/>
    <col min="10759" max="10759" width="10" style="13"/>
    <col min="10760" max="10760" width="15.75" style="13" customWidth="1"/>
    <col min="10761" max="10761" width="10" style="13"/>
    <col min="10762" max="10762" width="17.875" style="13" customWidth="1"/>
    <col min="10763" max="11010" width="10" style="13"/>
    <col min="11011" max="11011" width="23.25" style="13" customWidth="1"/>
    <col min="11012" max="11012" width="10" style="13"/>
    <col min="11013" max="11013" width="17.875" style="13" customWidth="1"/>
    <col min="11014" max="11014" width="2.125" style="13" customWidth="1"/>
    <col min="11015" max="11015" width="10" style="13"/>
    <col min="11016" max="11016" width="15.75" style="13" customWidth="1"/>
    <col min="11017" max="11017" width="10" style="13"/>
    <col min="11018" max="11018" width="17.875" style="13" customWidth="1"/>
    <col min="11019" max="11266" width="10" style="13"/>
    <col min="11267" max="11267" width="23.25" style="13" customWidth="1"/>
    <col min="11268" max="11268" width="10" style="13"/>
    <col min="11269" max="11269" width="17.875" style="13" customWidth="1"/>
    <col min="11270" max="11270" width="2.125" style="13" customWidth="1"/>
    <col min="11271" max="11271" width="10" style="13"/>
    <col min="11272" max="11272" width="15.75" style="13" customWidth="1"/>
    <col min="11273" max="11273" width="10" style="13"/>
    <col min="11274" max="11274" width="17.875" style="13" customWidth="1"/>
    <col min="11275" max="11522" width="10" style="13"/>
    <col min="11523" max="11523" width="23.25" style="13" customWidth="1"/>
    <col min="11524" max="11524" width="10" style="13"/>
    <col min="11525" max="11525" width="17.875" style="13" customWidth="1"/>
    <col min="11526" max="11526" width="2.125" style="13" customWidth="1"/>
    <col min="11527" max="11527" width="10" style="13"/>
    <col min="11528" max="11528" width="15.75" style="13" customWidth="1"/>
    <col min="11529" max="11529" width="10" style="13"/>
    <col min="11530" max="11530" width="17.875" style="13" customWidth="1"/>
    <col min="11531" max="11778" width="10" style="13"/>
    <col min="11779" max="11779" width="23.25" style="13" customWidth="1"/>
    <col min="11780" max="11780" width="10" style="13"/>
    <col min="11781" max="11781" width="17.875" style="13" customWidth="1"/>
    <col min="11782" max="11782" width="2.125" style="13" customWidth="1"/>
    <col min="11783" max="11783" width="10" style="13"/>
    <col min="11784" max="11784" width="15.75" style="13" customWidth="1"/>
    <col min="11785" max="11785" width="10" style="13"/>
    <col min="11786" max="11786" width="17.875" style="13" customWidth="1"/>
    <col min="11787" max="12034" width="10" style="13"/>
    <col min="12035" max="12035" width="23.25" style="13" customWidth="1"/>
    <col min="12036" max="12036" width="10" style="13"/>
    <col min="12037" max="12037" width="17.875" style="13" customWidth="1"/>
    <col min="12038" max="12038" width="2.125" style="13" customWidth="1"/>
    <col min="12039" max="12039" width="10" style="13"/>
    <col min="12040" max="12040" width="15.75" style="13" customWidth="1"/>
    <col min="12041" max="12041" width="10" style="13"/>
    <col min="12042" max="12042" width="17.875" style="13" customWidth="1"/>
    <col min="12043" max="12290" width="10" style="13"/>
    <col min="12291" max="12291" width="23.25" style="13" customWidth="1"/>
    <col min="12292" max="12292" width="10" style="13"/>
    <col min="12293" max="12293" width="17.875" style="13" customWidth="1"/>
    <col min="12294" max="12294" width="2.125" style="13" customWidth="1"/>
    <col min="12295" max="12295" width="10" style="13"/>
    <col min="12296" max="12296" width="15.75" style="13" customWidth="1"/>
    <col min="12297" max="12297" width="10" style="13"/>
    <col min="12298" max="12298" width="17.875" style="13" customWidth="1"/>
    <col min="12299" max="12546" width="10" style="13"/>
    <col min="12547" max="12547" width="23.25" style="13" customWidth="1"/>
    <col min="12548" max="12548" width="10" style="13"/>
    <col min="12549" max="12549" width="17.875" style="13" customWidth="1"/>
    <col min="12550" max="12550" width="2.125" style="13" customWidth="1"/>
    <col min="12551" max="12551" width="10" style="13"/>
    <col min="12552" max="12552" width="15.75" style="13" customWidth="1"/>
    <col min="12553" max="12553" width="10" style="13"/>
    <col min="12554" max="12554" width="17.875" style="13" customWidth="1"/>
    <col min="12555" max="12802" width="10" style="13"/>
    <col min="12803" max="12803" width="23.25" style="13" customWidth="1"/>
    <col min="12804" max="12804" width="10" style="13"/>
    <col min="12805" max="12805" width="17.875" style="13" customWidth="1"/>
    <col min="12806" max="12806" width="2.125" style="13" customWidth="1"/>
    <col min="12807" max="12807" width="10" style="13"/>
    <col min="12808" max="12808" width="15.75" style="13" customWidth="1"/>
    <col min="12809" max="12809" width="10" style="13"/>
    <col min="12810" max="12810" width="17.875" style="13" customWidth="1"/>
    <col min="12811" max="13058" width="10" style="13"/>
    <col min="13059" max="13059" width="23.25" style="13" customWidth="1"/>
    <col min="13060" max="13060" width="10" style="13"/>
    <col min="13061" max="13061" width="17.875" style="13" customWidth="1"/>
    <col min="13062" max="13062" width="2.125" style="13" customWidth="1"/>
    <col min="13063" max="13063" width="10" style="13"/>
    <col min="13064" max="13064" width="15.75" style="13" customWidth="1"/>
    <col min="13065" max="13065" width="10" style="13"/>
    <col min="13066" max="13066" width="17.875" style="13" customWidth="1"/>
    <col min="13067" max="13314" width="10" style="13"/>
    <col min="13315" max="13315" width="23.25" style="13" customWidth="1"/>
    <col min="13316" max="13316" width="10" style="13"/>
    <col min="13317" max="13317" width="17.875" style="13" customWidth="1"/>
    <col min="13318" max="13318" width="2.125" style="13" customWidth="1"/>
    <col min="13319" max="13319" width="10" style="13"/>
    <col min="13320" max="13320" width="15.75" style="13" customWidth="1"/>
    <col min="13321" max="13321" width="10" style="13"/>
    <col min="13322" max="13322" width="17.875" style="13" customWidth="1"/>
    <col min="13323" max="13570" width="10" style="13"/>
    <col min="13571" max="13571" width="23.25" style="13" customWidth="1"/>
    <col min="13572" max="13572" width="10" style="13"/>
    <col min="13573" max="13573" width="17.875" style="13" customWidth="1"/>
    <col min="13574" max="13574" width="2.125" style="13" customWidth="1"/>
    <col min="13575" max="13575" width="10" style="13"/>
    <col min="13576" max="13576" width="15.75" style="13" customWidth="1"/>
    <col min="13577" max="13577" width="10" style="13"/>
    <col min="13578" max="13578" width="17.875" style="13" customWidth="1"/>
    <col min="13579" max="13826" width="10" style="13"/>
    <col min="13827" max="13827" width="23.25" style="13" customWidth="1"/>
    <col min="13828" max="13828" width="10" style="13"/>
    <col min="13829" max="13829" width="17.875" style="13" customWidth="1"/>
    <col min="13830" max="13830" width="2.125" style="13" customWidth="1"/>
    <col min="13831" max="13831" width="10" style="13"/>
    <col min="13832" max="13832" width="15.75" style="13" customWidth="1"/>
    <col min="13833" max="13833" width="10" style="13"/>
    <col min="13834" max="13834" width="17.875" style="13" customWidth="1"/>
    <col min="13835" max="14082" width="10" style="13"/>
    <col min="14083" max="14083" width="23.25" style="13" customWidth="1"/>
    <col min="14084" max="14084" width="10" style="13"/>
    <col min="14085" max="14085" width="17.875" style="13" customWidth="1"/>
    <col min="14086" max="14086" width="2.125" style="13" customWidth="1"/>
    <col min="14087" max="14087" width="10" style="13"/>
    <col min="14088" max="14088" width="15.75" style="13" customWidth="1"/>
    <col min="14089" max="14089" width="10" style="13"/>
    <col min="14090" max="14090" width="17.875" style="13" customWidth="1"/>
    <col min="14091" max="14338" width="10" style="13"/>
    <col min="14339" max="14339" width="23.25" style="13" customWidth="1"/>
    <col min="14340" max="14340" width="10" style="13"/>
    <col min="14341" max="14341" width="17.875" style="13" customWidth="1"/>
    <col min="14342" max="14342" width="2.125" style="13" customWidth="1"/>
    <col min="14343" max="14343" width="10" style="13"/>
    <col min="14344" max="14344" width="15.75" style="13" customWidth="1"/>
    <col min="14345" max="14345" width="10" style="13"/>
    <col min="14346" max="14346" width="17.875" style="13" customWidth="1"/>
    <col min="14347" max="14594" width="10" style="13"/>
    <col min="14595" max="14595" width="23.25" style="13" customWidth="1"/>
    <col min="14596" max="14596" width="10" style="13"/>
    <col min="14597" max="14597" width="17.875" style="13" customWidth="1"/>
    <col min="14598" max="14598" width="2.125" style="13" customWidth="1"/>
    <col min="14599" max="14599" width="10" style="13"/>
    <col min="14600" max="14600" width="15.75" style="13" customWidth="1"/>
    <col min="14601" max="14601" width="10" style="13"/>
    <col min="14602" max="14602" width="17.875" style="13" customWidth="1"/>
    <col min="14603" max="14850" width="10" style="13"/>
    <col min="14851" max="14851" width="23.25" style="13" customWidth="1"/>
    <col min="14852" max="14852" width="10" style="13"/>
    <col min="14853" max="14853" width="17.875" style="13" customWidth="1"/>
    <col min="14854" max="14854" width="2.125" style="13" customWidth="1"/>
    <col min="14855" max="14855" width="10" style="13"/>
    <col min="14856" max="14856" width="15.75" style="13" customWidth="1"/>
    <col min="14857" max="14857" width="10" style="13"/>
    <col min="14858" max="14858" width="17.875" style="13" customWidth="1"/>
    <col min="14859" max="15106" width="10" style="13"/>
    <col min="15107" max="15107" width="23.25" style="13" customWidth="1"/>
    <col min="15108" max="15108" width="10" style="13"/>
    <col min="15109" max="15109" width="17.875" style="13" customWidth="1"/>
    <col min="15110" max="15110" width="2.125" style="13" customWidth="1"/>
    <col min="15111" max="15111" width="10" style="13"/>
    <col min="15112" max="15112" width="15.75" style="13" customWidth="1"/>
    <col min="15113" max="15113" width="10" style="13"/>
    <col min="15114" max="15114" width="17.875" style="13" customWidth="1"/>
    <col min="15115" max="15362" width="10" style="13"/>
    <col min="15363" max="15363" width="23.25" style="13" customWidth="1"/>
    <col min="15364" max="15364" width="10" style="13"/>
    <col min="15365" max="15365" width="17.875" style="13" customWidth="1"/>
    <col min="15366" max="15366" width="2.125" style="13" customWidth="1"/>
    <col min="15367" max="15367" width="10" style="13"/>
    <col min="15368" max="15368" width="15.75" style="13" customWidth="1"/>
    <col min="15369" max="15369" width="10" style="13"/>
    <col min="15370" max="15370" width="17.875" style="13" customWidth="1"/>
    <col min="15371" max="15618" width="10" style="13"/>
    <col min="15619" max="15619" width="23.25" style="13" customWidth="1"/>
    <col min="15620" max="15620" width="10" style="13"/>
    <col min="15621" max="15621" width="17.875" style="13" customWidth="1"/>
    <col min="15622" max="15622" width="2.125" style="13" customWidth="1"/>
    <col min="15623" max="15623" width="10" style="13"/>
    <col min="15624" max="15624" width="15.75" style="13" customWidth="1"/>
    <col min="15625" max="15625" width="10" style="13"/>
    <col min="15626" max="15626" width="17.875" style="13" customWidth="1"/>
    <col min="15627" max="15874" width="10" style="13"/>
    <col min="15875" max="15875" width="23.25" style="13" customWidth="1"/>
    <col min="15876" max="15876" width="10" style="13"/>
    <col min="15877" max="15877" width="17.875" style="13" customWidth="1"/>
    <col min="15878" max="15878" width="2.125" style="13" customWidth="1"/>
    <col min="15879" max="15879" width="10" style="13"/>
    <col min="15880" max="15880" width="15.75" style="13" customWidth="1"/>
    <col min="15881" max="15881" width="10" style="13"/>
    <col min="15882" max="15882" width="17.875" style="13" customWidth="1"/>
    <col min="15883" max="16130" width="10" style="13"/>
    <col min="16131" max="16131" width="23.25" style="13" customWidth="1"/>
    <col min="16132" max="16132" width="10" style="13"/>
    <col min="16133" max="16133" width="17.875" style="13" customWidth="1"/>
    <col min="16134" max="16134" width="2.125" style="13" customWidth="1"/>
    <col min="16135" max="16135" width="10" style="13"/>
    <col min="16136" max="16136" width="15.75" style="13" customWidth="1"/>
    <col min="16137" max="16137" width="10" style="13"/>
    <col min="16138" max="16138" width="17.875" style="13" customWidth="1"/>
    <col min="16139" max="16384" width="10" style="13"/>
  </cols>
  <sheetData>
    <row r="1" spans="1:10" ht="21">
      <c r="B1" s="366" t="s">
        <v>505</v>
      </c>
      <c r="C1" s="367"/>
      <c r="D1" s="368"/>
      <c r="E1" s="367"/>
      <c r="F1" s="368"/>
      <c r="G1" s="368"/>
      <c r="H1" s="367"/>
      <c r="I1" s="368"/>
      <c r="J1" s="367"/>
    </row>
    <row r="2" spans="1:10">
      <c r="B2" s="368"/>
      <c r="C2" s="367"/>
      <c r="D2" s="368"/>
      <c r="E2" s="367"/>
      <c r="F2" s="368"/>
      <c r="G2" s="368"/>
      <c r="H2" s="367"/>
      <c r="I2" s="368"/>
      <c r="J2" s="367"/>
    </row>
    <row r="3" spans="1:10">
      <c r="B3" s="482" t="s">
        <v>435</v>
      </c>
      <c r="G3" s="482" t="s">
        <v>436</v>
      </c>
    </row>
    <row r="4" spans="1:10">
      <c r="B4" s="30" t="s">
        <v>101</v>
      </c>
      <c r="C4" s="369" t="s">
        <v>102</v>
      </c>
      <c r="D4" s="30" t="s">
        <v>103</v>
      </c>
      <c r="E4" s="369" t="s">
        <v>104</v>
      </c>
      <c r="F4" s="370"/>
      <c r="G4" s="30" t="s">
        <v>101</v>
      </c>
      <c r="H4" s="369" t="s">
        <v>102</v>
      </c>
      <c r="I4" s="30" t="s">
        <v>103</v>
      </c>
      <c r="J4" s="369" t="s">
        <v>104</v>
      </c>
    </row>
    <row r="5" spans="1:10">
      <c r="A5" s="13">
        <v>1</v>
      </c>
      <c r="B5" s="371" t="s">
        <v>386</v>
      </c>
      <c r="C5" s="372">
        <v>113272</v>
      </c>
      <c r="D5" s="371" t="s">
        <v>248</v>
      </c>
      <c r="E5" s="372">
        <v>128285</v>
      </c>
      <c r="G5" s="371" t="s">
        <v>248</v>
      </c>
      <c r="H5" s="373">
        <v>358376</v>
      </c>
      <c r="I5" s="371" t="s">
        <v>241</v>
      </c>
      <c r="J5" s="373">
        <v>177257</v>
      </c>
    </row>
    <row r="6" spans="1:10">
      <c r="A6" s="13">
        <v>2</v>
      </c>
      <c r="B6" s="371" t="s">
        <v>248</v>
      </c>
      <c r="C6" s="372">
        <v>68923</v>
      </c>
      <c r="D6" s="371" t="s">
        <v>241</v>
      </c>
      <c r="E6" s="372">
        <v>89981</v>
      </c>
      <c r="G6" s="371" t="s">
        <v>462</v>
      </c>
      <c r="H6" s="373">
        <v>95664</v>
      </c>
      <c r="I6" s="371" t="s">
        <v>248</v>
      </c>
      <c r="J6" s="373">
        <v>24967</v>
      </c>
    </row>
    <row r="7" spans="1:10">
      <c r="A7" s="13">
        <v>3</v>
      </c>
      <c r="B7" s="371" t="s">
        <v>387</v>
      </c>
      <c r="C7" s="372">
        <v>62090</v>
      </c>
      <c r="D7" s="371" t="s">
        <v>249</v>
      </c>
      <c r="E7" s="372">
        <v>65604</v>
      </c>
      <c r="G7" s="371" t="s">
        <v>10</v>
      </c>
      <c r="H7" s="373">
        <v>35611</v>
      </c>
      <c r="I7" s="371"/>
      <c r="J7" s="373"/>
    </row>
    <row r="8" spans="1:10">
      <c r="A8" s="13">
        <v>4</v>
      </c>
      <c r="B8" s="371" t="s">
        <v>247</v>
      </c>
      <c r="C8" s="372">
        <v>49507</v>
      </c>
      <c r="D8" s="371" t="s">
        <v>257</v>
      </c>
      <c r="E8" s="372">
        <v>30880</v>
      </c>
      <c r="G8" s="371" t="s">
        <v>386</v>
      </c>
      <c r="H8" s="373">
        <v>21879</v>
      </c>
      <c r="I8" s="371"/>
      <c r="J8" s="373"/>
    </row>
    <row r="9" spans="1:10">
      <c r="A9" s="13">
        <v>5</v>
      </c>
      <c r="B9" s="371" t="s">
        <v>241</v>
      </c>
      <c r="C9" s="372">
        <v>43068</v>
      </c>
      <c r="D9" s="371" t="s">
        <v>386</v>
      </c>
      <c r="E9" s="372">
        <v>26182</v>
      </c>
      <c r="G9" s="371" t="s">
        <v>464</v>
      </c>
      <c r="H9" s="373">
        <v>15440</v>
      </c>
      <c r="I9" s="371"/>
      <c r="J9" s="373"/>
    </row>
    <row r="10" spans="1:10">
      <c r="A10" s="13">
        <v>6</v>
      </c>
      <c r="B10" s="371" t="s">
        <v>465</v>
      </c>
      <c r="C10" s="372">
        <v>36893</v>
      </c>
      <c r="D10" s="371" t="s">
        <v>247</v>
      </c>
      <c r="E10" s="372">
        <v>131</v>
      </c>
      <c r="G10" s="371" t="s">
        <v>247</v>
      </c>
      <c r="H10" s="373">
        <v>12220</v>
      </c>
      <c r="I10" s="371"/>
      <c r="J10" s="373"/>
    </row>
    <row r="11" spans="1:10">
      <c r="A11" s="13">
        <v>7</v>
      </c>
      <c r="B11" s="371" t="s">
        <v>258</v>
      </c>
      <c r="C11" s="372">
        <v>36170</v>
      </c>
      <c r="D11" s="371"/>
      <c r="E11" s="373"/>
      <c r="G11" s="371" t="s">
        <v>506</v>
      </c>
      <c r="H11" s="373">
        <v>11695</v>
      </c>
      <c r="I11" s="371"/>
      <c r="J11" s="373"/>
    </row>
    <row r="12" spans="1:10">
      <c r="A12" s="13">
        <v>8</v>
      </c>
      <c r="B12" s="371" t="s">
        <v>462</v>
      </c>
      <c r="C12" s="372">
        <v>33607</v>
      </c>
      <c r="D12" s="371"/>
      <c r="E12" s="373"/>
      <c r="G12" s="371" t="s">
        <v>387</v>
      </c>
      <c r="H12" s="373">
        <v>8968</v>
      </c>
      <c r="I12" s="371"/>
      <c r="J12" s="373"/>
    </row>
    <row r="13" spans="1:10">
      <c r="A13" s="13">
        <v>9</v>
      </c>
      <c r="B13" s="371" t="s">
        <v>464</v>
      </c>
      <c r="C13" s="372">
        <v>28055</v>
      </c>
      <c r="D13" s="371"/>
      <c r="E13" s="373"/>
      <c r="G13" s="371" t="s">
        <v>467</v>
      </c>
      <c r="H13" s="373">
        <v>6143</v>
      </c>
      <c r="I13" s="371"/>
      <c r="J13" s="373"/>
    </row>
    <row r="14" spans="1:10">
      <c r="A14" s="13">
        <v>10</v>
      </c>
      <c r="B14" s="374" t="s">
        <v>460</v>
      </c>
      <c r="C14" s="372">
        <v>18068</v>
      </c>
      <c r="D14" s="371"/>
      <c r="E14" s="373"/>
      <c r="G14" s="371" t="s">
        <v>13</v>
      </c>
      <c r="H14" s="373">
        <v>2168</v>
      </c>
      <c r="I14" s="371"/>
      <c r="J14" s="373"/>
    </row>
    <row r="15" spans="1:10">
      <c r="B15" s="483" t="s">
        <v>423</v>
      </c>
      <c r="C15" s="373">
        <f>C16-SUM(C5:C14)</f>
        <v>40473</v>
      </c>
      <c r="D15" s="371" t="s">
        <v>105</v>
      </c>
      <c r="E15" s="373">
        <f>E16-SUM(E5:E14)</f>
        <v>0</v>
      </c>
      <c r="G15" s="483" t="s">
        <v>423</v>
      </c>
      <c r="H15" s="373">
        <f>H16-SUM(H5:H14)</f>
        <v>2037</v>
      </c>
      <c r="I15" s="371" t="s">
        <v>105</v>
      </c>
      <c r="J15" s="373">
        <f>J16-SUM(J5:J14)</f>
        <v>0</v>
      </c>
    </row>
    <row r="16" spans="1:10">
      <c r="B16" s="371" t="s">
        <v>106</v>
      </c>
      <c r="C16" s="373">
        <v>530126</v>
      </c>
      <c r="D16" s="371" t="s">
        <v>106</v>
      </c>
      <c r="E16" s="373">
        <v>341063</v>
      </c>
      <c r="G16" s="371" t="s">
        <v>106</v>
      </c>
      <c r="H16" s="373">
        <v>570201</v>
      </c>
      <c r="I16" s="371" t="s">
        <v>106</v>
      </c>
      <c r="J16" s="373">
        <v>202224</v>
      </c>
    </row>
    <row r="18" spans="1:10">
      <c r="B18" s="482" t="s">
        <v>424</v>
      </c>
      <c r="G18" s="55" t="s">
        <v>425</v>
      </c>
    </row>
    <row r="19" spans="1:10">
      <c r="B19" s="30" t="s">
        <v>101</v>
      </c>
      <c r="C19" s="369" t="s">
        <v>102</v>
      </c>
      <c r="D19" s="30" t="s">
        <v>103</v>
      </c>
      <c r="E19" s="369" t="s">
        <v>104</v>
      </c>
      <c r="G19" s="30" t="s">
        <v>101</v>
      </c>
      <c r="H19" s="369" t="s">
        <v>102</v>
      </c>
      <c r="I19" s="30" t="s">
        <v>103</v>
      </c>
      <c r="J19" s="369" t="s">
        <v>104</v>
      </c>
    </row>
    <row r="20" spans="1:10">
      <c r="A20" s="13">
        <v>1</v>
      </c>
      <c r="B20" s="484" t="s">
        <v>248</v>
      </c>
      <c r="C20" s="373">
        <v>13749015</v>
      </c>
      <c r="D20" s="371" t="s">
        <v>241</v>
      </c>
      <c r="E20" s="373">
        <v>27857628</v>
      </c>
      <c r="G20" s="371" t="s">
        <v>248</v>
      </c>
      <c r="H20" s="373">
        <v>701116</v>
      </c>
      <c r="I20" s="371" t="s">
        <v>241</v>
      </c>
      <c r="J20" s="373">
        <v>5475202</v>
      </c>
    </row>
    <row r="21" spans="1:10">
      <c r="A21" s="13">
        <v>2</v>
      </c>
      <c r="B21" s="484" t="s">
        <v>247</v>
      </c>
      <c r="C21" s="373">
        <v>10199014</v>
      </c>
      <c r="D21" s="371" t="s">
        <v>463</v>
      </c>
      <c r="E21" s="373">
        <v>4750952</v>
      </c>
      <c r="G21" s="371" t="s">
        <v>258</v>
      </c>
      <c r="H21" s="373">
        <v>639980</v>
      </c>
      <c r="I21" s="371" t="s">
        <v>468</v>
      </c>
      <c r="J21" s="373">
        <v>72569</v>
      </c>
    </row>
    <row r="22" spans="1:10">
      <c r="A22" s="13">
        <v>3</v>
      </c>
      <c r="B22" s="484" t="s">
        <v>462</v>
      </c>
      <c r="C22" s="373">
        <v>4574571</v>
      </c>
      <c r="D22" s="371" t="s">
        <v>466</v>
      </c>
      <c r="E22" s="373">
        <v>725849</v>
      </c>
      <c r="G22" s="371" t="s">
        <v>462</v>
      </c>
      <c r="H22" s="373">
        <v>279207</v>
      </c>
      <c r="I22" s="371" t="s">
        <v>463</v>
      </c>
      <c r="J22" s="373">
        <v>65769</v>
      </c>
    </row>
    <row r="23" spans="1:10">
      <c r="A23" s="13">
        <v>4</v>
      </c>
      <c r="B23" s="484" t="s">
        <v>241</v>
      </c>
      <c r="C23" s="373">
        <v>4153157</v>
      </c>
      <c r="D23" s="371" t="s">
        <v>465</v>
      </c>
      <c r="E23" s="373">
        <v>481176</v>
      </c>
      <c r="G23" s="371" t="s">
        <v>247</v>
      </c>
      <c r="H23" s="373">
        <v>240144</v>
      </c>
      <c r="I23" s="371" t="s">
        <v>11</v>
      </c>
      <c r="J23" s="373">
        <v>16163</v>
      </c>
    </row>
    <row r="24" spans="1:10">
      <c r="A24" s="13">
        <v>5</v>
      </c>
      <c r="B24" s="484" t="s">
        <v>11</v>
      </c>
      <c r="C24" s="373">
        <v>3594842</v>
      </c>
      <c r="D24" s="371" t="s">
        <v>469</v>
      </c>
      <c r="E24" s="373">
        <v>392181</v>
      </c>
      <c r="G24" s="371" t="s">
        <v>241</v>
      </c>
      <c r="H24" s="373">
        <v>212090</v>
      </c>
      <c r="I24" s="371" t="s">
        <v>248</v>
      </c>
      <c r="J24" s="373">
        <v>3351</v>
      </c>
    </row>
    <row r="25" spans="1:10">
      <c r="A25" s="13">
        <v>6</v>
      </c>
      <c r="B25" s="484" t="s">
        <v>259</v>
      </c>
      <c r="C25" s="373">
        <v>2336462</v>
      </c>
      <c r="D25" s="371" t="s">
        <v>11</v>
      </c>
      <c r="E25" s="373">
        <v>81833</v>
      </c>
      <c r="G25" s="371" t="s">
        <v>463</v>
      </c>
      <c r="H25" s="373">
        <v>158935</v>
      </c>
      <c r="I25" s="371" t="s">
        <v>386</v>
      </c>
      <c r="J25" s="373">
        <v>2464</v>
      </c>
    </row>
    <row r="26" spans="1:10">
      <c r="A26" s="13">
        <v>7</v>
      </c>
      <c r="B26" s="484" t="s">
        <v>464</v>
      </c>
      <c r="C26" s="373">
        <v>2261104</v>
      </c>
      <c r="D26" s="371" t="s">
        <v>248</v>
      </c>
      <c r="E26" s="373">
        <v>36302</v>
      </c>
      <c r="G26" s="371" t="s">
        <v>465</v>
      </c>
      <c r="H26" s="373">
        <v>125133</v>
      </c>
      <c r="I26" s="371" t="s">
        <v>462</v>
      </c>
      <c r="J26" s="373">
        <v>2332</v>
      </c>
    </row>
    <row r="27" spans="1:10">
      <c r="A27" s="13">
        <v>8</v>
      </c>
      <c r="B27" s="484" t="s">
        <v>10</v>
      </c>
      <c r="C27" s="373">
        <v>2194975</v>
      </c>
      <c r="D27" s="371" t="s">
        <v>386</v>
      </c>
      <c r="E27" s="373">
        <v>17477</v>
      </c>
      <c r="G27" s="371" t="s">
        <v>11</v>
      </c>
      <c r="H27" s="373">
        <v>119514</v>
      </c>
      <c r="I27" s="371" t="s">
        <v>466</v>
      </c>
      <c r="J27" s="373">
        <v>197</v>
      </c>
    </row>
    <row r="28" spans="1:10">
      <c r="A28" s="13">
        <v>9</v>
      </c>
      <c r="B28" s="484" t="s">
        <v>465</v>
      </c>
      <c r="C28" s="373">
        <v>2158016</v>
      </c>
      <c r="D28" s="371" t="s">
        <v>462</v>
      </c>
      <c r="E28" s="373">
        <v>11006</v>
      </c>
      <c r="G28" s="371" t="s">
        <v>249</v>
      </c>
      <c r="H28" s="373">
        <v>105387</v>
      </c>
      <c r="I28" s="371" t="s">
        <v>249</v>
      </c>
      <c r="J28" s="373">
        <v>131</v>
      </c>
    </row>
    <row r="29" spans="1:10">
      <c r="A29" s="13">
        <v>10</v>
      </c>
      <c r="B29" s="484" t="s">
        <v>12</v>
      </c>
      <c r="C29" s="373">
        <v>1956273</v>
      </c>
      <c r="D29" s="371" t="s">
        <v>387</v>
      </c>
      <c r="E29" s="373">
        <v>2957</v>
      </c>
      <c r="G29" s="371" t="s">
        <v>10</v>
      </c>
      <c r="H29" s="373">
        <v>97240</v>
      </c>
      <c r="I29" s="371"/>
      <c r="J29" s="373"/>
    </row>
    <row r="30" spans="1:10">
      <c r="B30" s="371" t="s">
        <v>105</v>
      </c>
      <c r="C30" s="373">
        <f>C31-SUM(C20:C29)</f>
        <v>13801609</v>
      </c>
      <c r="D30" s="371" t="s">
        <v>437</v>
      </c>
      <c r="E30" s="373">
        <f>E31-SUM(E20:E29)</f>
        <v>5061</v>
      </c>
      <c r="G30" s="371" t="s">
        <v>438</v>
      </c>
      <c r="H30" s="373">
        <f>H31-SUM(H20:H29)</f>
        <v>344514</v>
      </c>
      <c r="I30" s="371" t="s">
        <v>105</v>
      </c>
      <c r="J30" s="373">
        <f>J31-SUM(J20:J29)</f>
        <v>0</v>
      </c>
    </row>
    <row r="31" spans="1:10">
      <c r="B31" s="371" t="s">
        <v>106</v>
      </c>
      <c r="C31" s="373">
        <v>60979038</v>
      </c>
      <c r="D31" s="371" t="s">
        <v>106</v>
      </c>
      <c r="E31" s="373">
        <v>34362422</v>
      </c>
      <c r="G31" s="371" t="s">
        <v>106</v>
      </c>
      <c r="H31" s="373">
        <v>3023260</v>
      </c>
      <c r="I31" s="371" t="s">
        <v>106</v>
      </c>
      <c r="J31" s="373">
        <v>5638178</v>
      </c>
    </row>
    <row r="32" spans="1:10">
      <c r="B32" s="375"/>
      <c r="D32" s="375"/>
      <c r="G32" s="375"/>
      <c r="I32" s="375"/>
    </row>
    <row r="33" spans="1:10">
      <c r="B33" s="55" t="s">
        <v>427</v>
      </c>
      <c r="D33" s="375"/>
      <c r="G33" s="55" t="s">
        <v>428</v>
      </c>
      <c r="I33" s="375"/>
    </row>
    <row r="34" spans="1:10">
      <c r="B34" s="371" t="s">
        <v>101</v>
      </c>
      <c r="C34" s="373" t="s">
        <v>102</v>
      </c>
      <c r="D34" s="371" t="s">
        <v>103</v>
      </c>
      <c r="E34" s="369" t="s">
        <v>104</v>
      </c>
      <c r="G34" s="371" t="s">
        <v>101</v>
      </c>
      <c r="H34" s="373" t="s">
        <v>102</v>
      </c>
      <c r="I34" s="371" t="s">
        <v>103</v>
      </c>
      <c r="J34" s="369" t="s">
        <v>104</v>
      </c>
    </row>
    <row r="35" spans="1:10">
      <c r="A35" s="13">
        <v>1</v>
      </c>
      <c r="B35" s="371" t="s">
        <v>241</v>
      </c>
      <c r="C35" s="373">
        <v>289553</v>
      </c>
      <c r="D35" s="371" t="s">
        <v>467</v>
      </c>
      <c r="E35" s="373">
        <v>607587</v>
      </c>
      <c r="G35" s="371" t="s">
        <v>464</v>
      </c>
      <c r="H35" s="373">
        <v>1940931</v>
      </c>
      <c r="I35" s="371" t="s">
        <v>462</v>
      </c>
      <c r="J35" s="373">
        <v>527595</v>
      </c>
    </row>
    <row r="36" spans="1:10">
      <c r="A36" s="13">
        <v>2</v>
      </c>
      <c r="B36" s="371" t="s">
        <v>465</v>
      </c>
      <c r="C36" s="373">
        <v>169350</v>
      </c>
      <c r="D36" s="371" t="s">
        <v>12</v>
      </c>
      <c r="E36" s="373">
        <v>58410</v>
      </c>
      <c r="G36" s="371" t="s">
        <v>462</v>
      </c>
      <c r="H36" s="373">
        <v>1928809</v>
      </c>
      <c r="I36" s="371" t="s">
        <v>241</v>
      </c>
      <c r="J36" s="373">
        <v>113298</v>
      </c>
    </row>
    <row r="37" spans="1:10">
      <c r="A37" s="13">
        <v>3</v>
      </c>
      <c r="B37" s="371" t="s">
        <v>462</v>
      </c>
      <c r="C37" s="373">
        <v>106178</v>
      </c>
      <c r="D37" s="371" t="s">
        <v>241</v>
      </c>
      <c r="E37" s="373">
        <v>48916</v>
      </c>
      <c r="G37" s="371" t="s">
        <v>247</v>
      </c>
      <c r="H37" s="373">
        <v>1359695</v>
      </c>
      <c r="I37" s="371" t="s">
        <v>248</v>
      </c>
      <c r="J37" s="373">
        <v>72011</v>
      </c>
    </row>
    <row r="38" spans="1:10">
      <c r="A38" s="13">
        <v>4</v>
      </c>
      <c r="B38" s="371" t="s">
        <v>299</v>
      </c>
      <c r="C38" s="373">
        <v>100789</v>
      </c>
      <c r="D38" s="371" t="s">
        <v>247</v>
      </c>
      <c r="E38" s="373">
        <v>2300</v>
      </c>
      <c r="G38" s="371" t="s">
        <v>248</v>
      </c>
      <c r="H38" s="373">
        <v>852562</v>
      </c>
      <c r="I38" s="371" t="s">
        <v>386</v>
      </c>
      <c r="J38" s="373">
        <v>71846</v>
      </c>
    </row>
    <row r="39" spans="1:10">
      <c r="A39" s="13">
        <v>5</v>
      </c>
      <c r="B39" s="371" t="s">
        <v>507</v>
      </c>
      <c r="C39" s="373">
        <v>79336</v>
      </c>
      <c r="D39" s="371" t="s">
        <v>386</v>
      </c>
      <c r="E39" s="373">
        <v>690</v>
      </c>
      <c r="G39" s="371" t="s">
        <v>463</v>
      </c>
      <c r="H39" s="373">
        <v>515177</v>
      </c>
      <c r="I39" s="371" t="s">
        <v>468</v>
      </c>
      <c r="J39" s="373">
        <v>49145</v>
      </c>
    </row>
    <row r="40" spans="1:10">
      <c r="A40" s="13">
        <v>6</v>
      </c>
      <c r="B40" s="371" t="s">
        <v>248</v>
      </c>
      <c r="C40" s="373">
        <v>41623</v>
      </c>
      <c r="D40" s="371"/>
      <c r="E40" s="373"/>
      <c r="G40" s="371" t="s">
        <v>465</v>
      </c>
      <c r="H40" s="373">
        <v>388503</v>
      </c>
      <c r="I40" s="371" t="s">
        <v>11</v>
      </c>
      <c r="J40" s="373">
        <v>38854</v>
      </c>
    </row>
    <row r="41" spans="1:10">
      <c r="A41" s="13">
        <v>7</v>
      </c>
      <c r="B41" s="371" t="s">
        <v>463</v>
      </c>
      <c r="C41" s="373">
        <v>33837</v>
      </c>
      <c r="D41" s="371"/>
      <c r="E41" s="373"/>
      <c r="G41" s="371" t="s">
        <v>7</v>
      </c>
      <c r="H41" s="373">
        <v>249869</v>
      </c>
      <c r="I41" s="371" t="s">
        <v>471</v>
      </c>
      <c r="J41" s="373">
        <v>7819</v>
      </c>
    </row>
    <row r="42" spans="1:10">
      <c r="A42" s="13">
        <v>8</v>
      </c>
      <c r="B42" s="371" t="s">
        <v>11</v>
      </c>
      <c r="C42" s="373">
        <v>32523</v>
      </c>
      <c r="D42" s="371"/>
      <c r="E42" s="373"/>
      <c r="G42" s="371" t="s">
        <v>11</v>
      </c>
      <c r="H42" s="373">
        <v>217642</v>
      </c>
      <c r="I42" s="371" t="s">
        <v>466</v>
      </c>
      <c r="J42" s="373">
        <v>2103</v>
      </c>
    </row>
    <row r="43" spans="1:10">
      <c r="A43" s="13">
        <v>9</v>
      </c>
      <c r="B43" s="371" t="s">
        <v>258</v>
      </c>
      <c r="C43" s="373">
        <v>24343</v>
      </c>
      <c r="D43" s="371"/>
      <c r="E43" s="373"/>
      <c r="G43" s="371" t="s">
        <v>386</v>
      </c>
      <c r="H43" s="373">
        <v>146618</v>
      </c>
      <c r="I43" s="371" t="s">
        <v>271</v>
      </c>
      <c r="J43" s="373">
        <v>1511</v>
      </c>
    </row>
    <row r="44" spans="1:10">
      <c r="A44" s="13">
        <v>10</v>
      </c>
      <c r="B44" s="371" t="s">
        <v>271</v>
      </c>
      <c r="C44" s="373">
        <v>22898</v>
      </c>
      <c r="D44" s="371"/>
      <c r="E44" s="373"/>
      <c r="G44" s="371" t="s">
        <v>241</v>
      </c>
      <c r="H44" s="373">
        <v>129536</v>
      </c>
      <c r="I44" s="371"/>
      <c r="J44" s="373"/>
    </row>
    <row r="45" spans="1:10">
      <c r="B45" s="371" t="s">
        <v>105</v>
      </c>
      <c r="C45" s="373">
        <f>C46-SUM(C34:C44)</f>
        <v>54040</v>
      </c>
      <c r="D45" s="371" t="s">
        <v>426</v>
      </c>
      <c r="E45" s="373">
        <f>E46-SUM(E34:E44)</f>
        <v>0</v>
      </c>
      <c r="G45" s="371" t="s">
        <v>439</v>
      </c>
      <c r="H45" s="373">
        <f>H46-SUM(H34:H44)</f>
        <v>793200</v>
      </c>
      <c r="I45" s="371" t="s">
        <v>440</v>
      </c>
      <c r="J45" s="373">
        <f>J46-SUM(J34:J44)</f>
        <v>0</v>
      </c>
    </row>
    <row r="46" spans="1:10">
      <c r="B46" s="371" t="s">
        <v>106</v>
      </c>
      <c r="C46" s="373">
        <v>954470</v>
      </c>
      <c r="D46" s="371" t="s">
        <v>106</v>
      </c>
      <c r="E46" s="373">
        <v>717903</v>
      </c>
      <c r="G46" s="371" t="s">
        <v>106</v>
      </c>
      <c r="H46" s="373">
        <v>8522542</v>
      </c>
      <c r="I46" s="371" t="s">
        <v>106</v>
      </c>
      <c r="J46" s="373">
        <v>884182</v>
      </c>
    </row>
    <row r="47" spans="1:10">
      <c r="B47" s="375"/>
      <c r="D47" s="375"/>
      <c r="G47" s="375"/>
      <c r="I47" s="375"/>
    </row>
    <row r="48" spans="1:10">
      <c r="B48" s="55" t="s">
        <v>429</v>
      </c>
      <c r="G48" s="269" t="s">
        <v>441</v>
      </c>
    </row>
    <row r="49" spans="1:10">
      <c r="B49" s="30" t="s">
        <v>101</v>
      </c>
      <c r="C49" s="369" t="s">
        <v>102</v>
      </c>
      <c r="D49" s="30" t="s">
        <v>103</v>
      </c>
      <c r="E49" s="369" t="s">
        <v>104</v>
      </c>
      <c r="G49" s="30" t="s">
        <v>101</v>
      </c>
      <c r="H49" s="369" t="s">
        <v>102</v>
      </c>
      <c r="I49" s="30" t="s">
        <v>103</v>
      </c>
      <c r="J49" s="369" t="s">
        <v>104</v>
      </c>
    </row>
    <row r="50" spans="1:10">
      <c r="A50" s="13">
        <v>1</v>
      </c>
      <c r="B50" s="371" t="s">
        <v>467</v>
      </c>
      <c r="C50" s="373">
        <v>780683</v>
      </c>
      <c r="D50" s="371" t="s">
        <v>241</v>
      </c>
      <c r="E50" s="373">
        <v>2702467</v>
      </c>
      <c r="G50" s="374" t="s">
        <v>299</v>
      </c>
      <c r="H50" s="373">
        <v>38863</v>
      </c>
      <c r="I50" s="374" t="s">
        <v>386</v>
      </c>
      <c r="J50" s="373">
        <v>426840</v>
      </c>
    </row>
    <row r="51" spans="1:10">
      <c r="A51" s="13">
        <v>2</v>
      </c>
      <c r="B51" s="371" t="s">
        <v>247</v>
      </c>
      <c r="C51" s="373">
        <v>603285</v>
      </c>
      <c r="D51" s="371" t="s">
        <v>468</v>
      </c>
      <c r="E51" s="373">
        <v>285186</v>
      </c>
      <c r="G51" s="374" t="s">
        <v>464</v>
      </c>
      <c r="H51" s="373">
        <v>17740</v>
      </c>
      <c r="I51" s="374" t="s">
        <v>471</v>
      </c>
      <c r="J51" s="373">
        <v>59034</v>
      </c>
    </row>
    <row r="52" spans="1:10">
      <c r="A52" s="13">
        <v>3</v>
      </c>
      <c r="B52" s="371" t="s">
        <v>462</v>
      </c>
      <c r="C52" s="373">
        <v>491165</v>
      </c>
      <c r="D52" s="371" t="s">
        <v>470</v>
      </c>
      <c r="E52" s="373">
        <v>230158</v>
      </c>
      <c r="G52" s="374" t="s">
        <v>260</v>
      </c>
      <c r="H52" s="373">
        <v>15506</v>
      </c>
      <c r="I52" s="374" t="s">
        <v>241</v>
      </c>
      <c r="J52" s="373">
        <v>2464</v>
      </c>
    </row>
    <row r="53" spans="1:10">
      <c r="A53" s="13">
        <v>4</v>
      </c>
      <c r="B53" s="371" t="s">
        <v>248</v>
      </c>
      <c r="C53" s="373">
        <v>356735</v>
      </c>
      <c r="D53" s="371" t="s">
        <v>386</v>
      </c>
      <c r="E53" s="373">
        <v>152071</v>
      </c>
      <c r="G53" s="374" t="s">
        <v>247</v>
      </c>
      <c r="H53" s="373">
        <v>8673</v>
      </c>
      <c r="I53" s="374"/>
      <c r="J53" s="373"/>
    </row>
    <row r="54" spans="1:10">
      <c r="A54" s="13">
        <v>5</v>
      </c>
      <c r="B54" s="371" t="s">
        <v>258</v>
      </c>
      <c r="C54" s="373">
        <v>224738</v>
      </c>
      <c r="D54" s="371" t="s">
        <v>466</v>
      </c>
      <c r="E54" s="373">
        <v>118364</v>
      </c>
      <c r="G54" s="374" t="s">
        <v>305</v>
      </c>
      <c r="H54" s="373">
        <v>2135</v>
      </c>
      <c r="I54" s="374"/>
      <c r="J54" s="373"/>
    </row>
    <row r="55" spans="1:10">
      <c r="A55" s="13">
        <v>6</v>
      </c>
      <c r="B55" s="371" t="s">
        <v>507</v>
      </c>
      <c r="C55" s="373">
        <v>207030</v>
      </c>
      <c r="D55" s="371" t="s">
        <v>462</v>
      </c>
      <c r="E55" s="373">
        <v>106471</v>
      </c>
      <c r="G55" s="374" t="s">
        <v>241</v>
      </c>
      <c r="H55" s="373">
        <v>1840</v>
      </c>
      <c r="I55" s="374"/>
      <c r="J55" s="373"/>
    </row>
    <row r="56" spans="1:10">
      <c r="A56" s="13">
        <v>7</v>
      </c>
      <c r="B56" s="371" t="s">
        <v>463</v>
      </c>
      <c r="C56" s="373">
        <v>176642</v>
      </c>
      <c r="D56" s="371" t="s">
        <v>13</v>
      </c>
      <c r="E56" s="373">
        <v>70960</v>
      </c>
      <c r="G56" s="374" t="s">
        <v>508</v>
      </c>
      <c r="H56" s="373">
        <v>558</v>
      </c>
      <c r="I56" s="374"/>
      <c r="J56" s="373"/>
    </row>
    <row r="57" spans="1:10">
      <c r="A57" s="13">
        <v>8</v>
      </c>
      <c r="B57" s="371" t="s">
        <v>12</v>
      </c>
      <c r="C57" s="373">
        <v>170434</v>
      </c>
      <c r="D57" s="371" t="s">
        <v>467</v>
      </c>
      <c r="E57" s="373">
        <v>45105</v>
      </c>
      <c r="G57" s="374" t="s">
        <v>509</v>
      </c>
      <c r="H57" s="373">
        <v>394</v>
      </c>
      <c r="I57" s="374"/>
      <c r="J57" s="373"/>
    </row>
    <row r="58" spans="1:10">
      <c r="A58" s="13">
        <v>9</v>
      </c>
      <c r="B58" s="371" t="s">
        <v>241</v>
      </c>
      <c r="C58" s="373">
        <v>145665</v>
      </c>
      <c r="D58" s="371" t="s">
        <v>259</v>
      </c>
      <c r="E58" s="373">
        <v>37648</v>
      </c>
      <c r="G58" s="374"/>
      <c r="H58" s="373"/>
      <c r="I58" s="374"/>
      <c r="J58" s="373"/>
    </row>
    <row r="59" spans="1:10">
      <c r="A59" s="13">
        <v>10</v>
      </c>
      <c r="B59" s="371" t="s">
        <v>465</v>
      </c>
      <c r="C59" s="373">
        <v>138667</v>
      </c>
      <c r="D59" s="371" t="s">
        <v>471</v>
      </c>
      <c r="E59" s="373">
        <v>29028</v>
      </c>
      <c r="G59" s="374"/>
      <c r="H59" s="373"/>
      <c r="I59" s="374"/>
      <c r="J59" s="373"/>
    </row>
    <row r="60" spans="1:10">
      <c r="B60" s="371" t="s">
        <v>439</v>
      </c>
      <c r="C60" s="373">
        <f>C61-SUM(C49:C59)</f>
        <v>612974</v>
      </c>
      <c r="D60" s="371" t="s">
        <v>105</v>
      </c>
      <c r="E60" s="373">
        <f>E61-SUM(E49:E59)</f>
        <v>1052</v>
      </c>
      <c r="G60" s="374" t="s">
        <v>439</v>
      </c>
      <c r="H60" s="373">
        <f>H61-SUM(H49:H59)</f>
        <v>0</v>
      </c>
      <c r="I60" s="371" t="s">
        <v>105</v>
      </c>
      <c r="J60" s="373">
        <f>J61-SUM(J49:J59)</f>
        <v>0</v>
      </c>
    </row>
    <row r="61" spans="1:10">
      <c r="B61" s="371" t="s">
        <v>106</v>
      </c>
      <c r="C61" s="373">
        <v>3908018</v>
      </c>
      <c r="D61" s="371" t="s">
        <v>106</v>
      </c>
      <c r="E61" s="373">
        <v>3778510</v>
      </c>
      <c r="G61" s="371" t="s">
        <v>106</v>
      </c>
      <c r="H61" s="373">
        <v>85709</v>
      </c>
      <c r="I61" s="371" t="s">
        <v>106</v>
      </c>
      <c r="J61" s="373">
        <v>488338</v>
      </c>
    </row>
    <row r="63" spans="1:10">
      <c r="B63" s="482" t="s">
        <v>442</v>
      </c>
      <c r="G63" s="482" t="s">
        <v>443</v>
      </c>
    </row>
    <row r="64" spans="1:10">
      <c r="B64" s="30" t="s">
        <v>101</v>
      </c>
      <c r="C64" s="369" t="s">
        <v>102</v>
      </c>
      <c r="D64" s="30" t="s">
        <v>103</v>
      </c>
      <c r="E64" s="369" t="s">
        <v>104</v>
      </c>
      <c r="G64" s="30" t="s">
        <v>101</v>
      </c>
      <c r="H64" s="369" t="s">
        <v>102</v>
      </c>
      <c r="I64" s="30" t="s">
        <v>103</v>
      </c>
      <c r="J64" s="369" t="s">
        <v>104</v>
      </c>
    </row>
    <row r="65" spans="1:10">
      <c r="A65" s="13">
        <v>1</v>
      </c>
      <c r="B65" s="371" t="s">
        <v>8</v>
      </c>
      <c r="C65" s="373">
        <v>105060</v>
      </c>
      <c r="D65" s="371" t="s">
        <v>466</v>
      </c>
      <c r="E65" s="373">
        <v>102431</v>
      </c>
      <c r="G65" s="371" t="s">
        <v>248</v>
      </c>
      <c r="H65" s="373">
        <v>5584037</v>
      </c>
      <c r="I65" s="371" t="s">
        <v>386</v>
      </c>
      <c r="J65" s="373">
        <v>8729556</v>
      </c>
    </row>
    <row r="66" spans="1:10">
      <c r="A66" s="13">
        <v>2</v>
      </c>
      <c r="B66" s="371" t="s">
        <v>462</v>
      </c>
      <c r="C66" s="373">
        <v>47174</v>
      </c>
      <c r="D66" s="371" t="s">
        <v>248</v>
      </c>
      <c r="E66" s="373">
        <v>83081</v>
      </c>
      <c r="G66" s="371" t="s">
        <v>241</v>
      </c>
      <c r="H66" s="373">
        <v>2476609</v>
      </c>
      <c r="I66" s="371" t="s">
        <v>468</v>
      </c>
      <c r="J66" s="373">
        <v>1176822</v>
      </c>
    </row>
    <row r="67" spans="1:10">
      <c r="A67" s="13">
        <v>3</v>
      </c>
      <c r="B67" s="371" t="s">
        <v>257</v>
      </c>
      <c r="C67" s="373">
        <v>38568</v>
      </c>
      <c r="D67" s="371" t="s">
        <v>241</v>
      </c>
      <c r="E67" s="373">
        <v>37221</v>
      </c>
      <c r="G67" s="371" t="s">
        <v>462</v>
      </c>
      <c r="H67" s="373">
        <v>1595500</v>
      </c>
      <c r="I67" s="371" t="s">
        <v>241</v>
      </c>
      <c r="J67" s="373">
        <v>891918</v>
      </c>
    </row>
    <row r="68" spans="1:10">
      <c r="A68" s="13">
        <v>4</v>
      </c>
      <c r="B68" s="371" t="s">
        <v>11</v>
      </c>
      <c r="C68" s="373">
        <v>34593</v>
      </c>
      <c r="D68" s="371" t="s">
        <v>468</v>
      </c>
      <c r="E68" s="373">
        <v>32260</v>
      </c>
      <c r="G68" s="371" t="s">
        <v>463</v>
      </c>
      <c r="H68" s="373">
        <v>862385</v>
      </c>
      <c r="I68" s="371" t="s">
        <v>464</v>
      </c>
      <c r="J68" s="373">
        <v>303249</v>
      </c>
    </row>
    <row r="69" spans="1:10">
      <c r="A69" s="13">
        <v>5</v>
      </c>
      <c r="B69" s="371" t="s">
        <v>258</v>
      </c>
      <c r="C69" s="373">
        <v>34363</v>
      </c>
      <c r="D69" s="371" t="s">
        <v>386</v>
      </c>
      <c r="E69" s="373">
        <v>30980</v>
      </c>
      <c r="G69" s="371" t="s">
        <v>13</v>
      </c>
      <c r="H69" s="373">
        <v>788206</v>
      </c>
      <c r="I69" s="371" t="s">
        <v>248</v>
      </c>
      <c r="J69" s="373">
        <v>109620</v>
      </c>
    </row>
    <row r="70" spans="1:10">
      <c r="A70" s="13">
        <v>6</v>
      </c>
      <c r="B70" s="371" t="s">
        <v>7</v>
      </c>
      <c r="C70" s="373">
        <v>31340</v>
      </c>
      <c r="D70" s="371" t="s">
        <v>463</v>
      </c>
      <c r="E70" s="373">
        <v>1281</v>
      </c>
      <c r="G70" s="371" t="s">
        <v>258</v>
      </c>
      <c r="H70" s="373">
        <v>785676</v>
      </c>
      <c r="I70" s="371" t="s">
        <v>466</v>
      </c>
      <c r="J70" s="373">
        <v>78713</v>
      </c>
    </row>
    <row r="71" spans="1:10">
      <c r="A71" s="13">
        <v>7</v>
      </c>
      <c r="B71" s="371" t="s">
        <v>387</v>
      </c>
      <c r="C71" s="373">
        <v>11629</v>
      </c>
      <c r="D71" s="371" t="s">
        <v>462</v>
      </c>
      <c r="E71" s="373">
        <v>230</v>
      </c>
      <c r="G71" s="371" t="s">
        <v>247</v>
      </c>
      <c r="H71" s="373">
        <v>674736</v>
      </c>
      <c r="I71" s="371" t="s">
        <v>11</v>
      </c>
      <c r="J71" s="373">
        <v>31669</v>
      </c>
    </row>
    <row r="72" spans="1:10">
      <c r="A72" s="13">
        <v>8</v>
      </c>
      <c r="B72" s="371" t="s">
        <v>305</v>
      </c>
      <c r="C72" s="373">
        <v>5026</v>
      </c>
      <c r="D72" s="371"/>
      <c r="E72" s="373"/>
      <c r="G72" s="371" t="s">
        <v>11</v>
      </c>
      <c r="H72" s="373">
        <v>531965</v>
      </c>
      <c r="I72" s="371" t="s">
        <v>467</v>
      </c>
      <c r="J72" s="373">
        <v>17707</v>
      </c>
    </row>
    <row r="73" spans="1:10">
      <c r="A73" s="13">
        <v>9</v>
      </c>
      <c r="B73" s="371" t="s">
        <v>506</v>
      </c>
      <c r="C73" s="373">
        <v>1807</v>
      </c>
      <c r="D73" s="371"/>
      <c r="E73" s="373"/>
      <c r="G73" s="371" t="s">
        <v>12</v>
      </c>
      <c r="H73" s="373">
        <v>477562</v>
      </c>
      <c r="I73" s="371" t="s">
        <v>247</v>
      </c>
      <c r="J73" s="373">
        <v>8377</v>
      </c>
    </row>
    <row r="74" spans="1:10">
      <c r="A74" s="13">
        <v>10</v>
      </c>
      <c r="B74" s="371" t="s">
        <v>508</v>
      </c>
      <c r="C74" s="373">
        <v>1413</v>
      </c>
      <c r="D74" s="371"/>
      <c r="E74" s="373"/>
      <c r="G74" s="371" t="s">
        <v>259</v>
      </c>
      <c r="H74" s="373">
        <v>400590</v>
      </c>
      <c r="I74" s="371" t="s">
        <v>462</v>
      </c>
      <c r="J74" s="373">
        <v>3942</v>
      </c>
    </row>
    <row r="75" spans="1:10">
      <c r="B75" s="371" t="s">
        <v>105</v>
      </c>
      <c r="C75" s="373">
        <f>C76-SUM(C64:C74)</f>
        <v>0</v>
      </c>
      <c r="D75" s="371" t="s">
        <v>105</v>
      </c>
      <c r="E75" s="373">
        <f>E76-SUM(E64:E74)</f>
        <v>0</v>
      </c>
      <c r="G75" s="371" t="s">
        <v>105</v>
      </c>
      <c r="H75" s="373">
        <f>H76-SUM(H64:H74)</f>
        <v>2544027</v>
      </c>
      <c r="I75" s="371" t="s">
        <v>426</v>
      </c>
      <c r="J75" s="373">
        <f>J76-SUM(J64:J74)</f>
        <v>7589</v>
      </c>
    </row>
    <row r="76" spans="1:10">
      <c r="B76" s="371" t="s">
        <v>106</v>
      </c>
      <c r="C76" s="373">
        <v>310973</v>
      </c>
      <c r="D76" s="371" t="s">
        <v>106</v>
      </c>
      <c r="E76" s="373">
        <v>287484</v>
      </c>
      <c r="G76" s="371" t="s">
        <v>106</v>
      </c>
      <c r="H76" s="373">
        <v>16721293</v>
      </c>
      <c r="I76" s="371" t="s">
        <v>106</v>
      </c>
      <c r="J76" s="373">
        <v>11359162</v>
      </c>
    </row>
    <row r="78" spans="1:10">
      <c r="B78" s="55" t="s">
        <v>444</v>
      </c>
      <c r="G78" s="482" t="s">
        <v>430</v>
      </c>
    </row>
    <row r="79" spans="1:10">
      <c r="B79" s="30" t="s">
        <v>101</v>
      </c>
      <c r="C79" s="369" t="s">
        <v>102</v>
      </c>
      <c r="D79" s="30" t="s">
        <v>103</v>
      </c>
      <c r="E79" s="369" t="s">
        <v>104</v>
      </c>
      <c r="G79" s="30" t="s">
        <v>101</v>
      </c>
      <c r="H79" s="369" t="s">
        <v>102</v>
      </c>
      <c r="I79" s="30" t="s">
        <v>103</v>
      </c>
      <c r="J79" s="369" t="s">
        <v>104</v>
      </c>
    </row>
    <row r="80" spans="1:10">
      <c r="A80" s="13">
        <v>1</v>
      </c>
      <c r="B80" s="371" t="s">
        <v>248</v>
      </c>
      <c r="C80" s="373">
        <v>1178155</v>
      </c>
      <c r="D80" s="371" t="s">
        <v>241</v>
      </c>
      <c r="E80" s="373">
        <v>716931</v>
      </c>
      <c r="G80" s="371" t="s">
        <v>248</v>
      </c>
      <c r="H80" s="373">
        <v>1172306</v>
      </c>
      <c r="I80" s="371" t="s">
        <v>241</v>
      </c>
      <c r="J80" s="373">
        <v>122592</v>
      </c>
    </row>
    <row r="81" spans="1:10">
      <c r="A81" s="13">
        <v>2</v>
      </c>
      <c r="B81" s="371" t="s">
        <v>462</v>
      </c>
      <c r="C81" s="373">
        <v>646812</v>
      </c>
      <c r="D81" s="371" t="s">
        <v>11</v>
      </c>
      <c r="E81" s="373">
        <v>336465</v>
      </c>
      <c r="G81" s="371" t="s">
        <v>462</v>
      </c>
      <c r="H81" s="373">
        <v>788172</v>
      </c>
      <c r="I81" s="371" t="s">
        <v>468</v>
      </c>
      <c r="J81" s="373">
        <v>13009</v>
      </c>
    </row>
    <row r="82" spans="1:10">
      <c r="A82" s="13">
        <v>3</v>
      </c>
      <c r="B82" s="371" t="s">
        <v>247</v>
      </c>
      <c r="C82" s="373">
        <v>251969</v>
      </c>
      <c r="D82" s="371" t="s">
        <v>463</v>
      </c>
      <c r="E82" s="373">
        <v>20651</v>
      </c>
      <c r="G82" s="371" t="s">
        <v>11</v>
      </c>
      <c r="H82" s="373">
        <v>554829</v>
      </c>
      <c r="I82" s="371" t="s">
        <v>466</v>
      </c>
      <c r="J82" s="373">
        <v>11530</v>
      </c>
    </row>
    <row r="83" spans="1:10">
      <c r="A83" s="13">
        <v>4</v>
      </c>
      <c r="B83" s="371" t="s">
        <v>11</v>
      </c>
      <c r="C83" s="373">
        <v>136269</v>
      </c>
      <c r="D83" s="371" t="s">
        <v>464</v>
      </c>
      <c r="E83" s="373">
        <v>15671</v>
      </c>
      <c r="G83" s="371" t="s">
        <v>249</v>
      </c>
      <c r="H83" s="373">
        <v>371222</v>
      </c>
      <c r="I83" s="371" t="s">
        <v>471</v>
      </c>
      <c r="J83" s="373">
        <v>9002</v>
      </c>
    </row>
    <row r="84" spans="1:10">
      <c r="A84" s="13">
        <v>5</v>
      </c>
      <c r="B84" s="371" t="s">
        <v>463</v>
      </c>
      <c r="C84" s="373">
        <v>99278</v>
      </c>
      <c r="D84" s="371" t="s">
        <v>271</v>
      </c>
      <c r="E84" s="373">
        <v>8640</v>
      </c>
      <c r="G84" s="371" t="s">
        <v>7</v>
      </c>
      <c r="H84" s="373">
        <v>305189</v>
      </c>
      <c r="I84" s="371" t="s">
        <v>463</v>
      </c>
      <c r="J84" s="373">
        <v>2464</v>
      </c>
    </row>
    <row r="85" spans="1:10">
      <c r="A85" s="13">
        <v>6</v>
      </c>
      <c r="B85" s="371" t="s">
        <v>241</v>
      </c>
      <c r="C85" s="373">
        <v>92707</v>
      </c>
      <c r="D85" s="371" t="s">
        <v>466</v>
      </c>
      <c r="E85" s="373">
        <v>7490</v>
      </c>
      <c r="G85" s="371" t="s">
        <v>247</v>
      </c>
      <c r="H85" s="373">
        <v>256373</v>
      </c>
      <c r="I85" s="371" t="s">
        <v>16</v>
      </c>
      <c r="J85" s="373">
        <v>1840</v>
      </c>
    </row>
    <row r="86" spans="1:10">
      <c r="A86" s="13">
        <v>7</v>
      </c>
      <c r="B86" s="371" t="s">
        <v>386</v>
      </c>
      <c r="C86" s="373">
        <v>91721</v>
      </c>
      <c r="D86" s="371" t="s">
        <v>248</v>
      </c>
      <c r="E86" s="373">
        <v>3932</v>
      </c>
      <c r="G86" s="371" t="s">
        <v>386</v>
      </c>
      <c r="H86" s="373">
        <v>135873</v>
      </c>
      <c r="I86" s="374" t="s">
        <v>460</v>
      </c>
      <c r="J86" s="373">
        <v>1281</v>
      </c>
    </row>
    <row r="87" spans="1:10">
      <c r="A87" s="13">
        <v>8</v>
      </c>
      <c r="B87" s="371" t="s">
        <v>249</v>
      </c>
      <c r="C87" s="373">
        <v>68365</v>
      </c>
      <c r="D87" s="371" t="s">
        <v>462</v>
      </c>
      <c r="E87" s="373">
        <v>1971</v>
      </c>
      <c r="G87" s="371" t="s">
        <v>464</v>
      </c>
      <c r="H87" s="373">
        <v>114158</v>
      </c>
      <c r="I87" s="371" t="s">
        <v>386</v>
      </c>
      <c r="J87" s="373">
        <v>920</v>
      </c>
    </row>
    <row r="88" spans="1:10">
      <c r="A88" s="13">
        <v>9</v>
      </c>
      <c r="B88" s="371" t="s">
        <v>464</v>
      </c>
      <c r="C88" s="373">
        <v>46912</v>
      </c>
      <c r="D88" s="371"/>
      <c r="E88" s="373"/>
      <c r="G88" s="371" t="s">
        <v>387</v>
      </c>
      <c r="H88" s="373">
        <v>105947</v>
      </c>
      <c r="I88" s="371" t="s">
        <v>11</v>
      </c>
      <c r="J88" s="373">
        <v>394</v>
      </c>
    </row>
    <row r="89" spans="1:10">
      <c r="A89" s="13">
        <v>10</v>
      </c>
      <c r="B89" s="371" t="s">
        <v>387</v>
      </c>
      <c r="C89" s="373">
        <v>37747</v>
      </c>
      <c r="D89" s="371"/>
      <c r="E89" s="373"/>
      <c r="G89" s="371" t="s">
        <v>299</v>
      </c>
      <c r="H89" s="373">
        <v>88535</v>
      </c>
      <c r="I89" s="371" t="s">
        <v>248</v>
      </c>
      <c r="J89" s="373">
        <v>362</v>
      </c>
    </row>
    <row r="90" spans="1:10">
      <c r="B90" s="371" t="s">
        <v>105</v>
      </c>
      <c r="C90" s="373">
        <f>C91-SUM(C80:C89)</f>
        <v>510409</v>
      </c>
      <c r="D90" s="371" t="s">
        <v>105</v>
      </c>
      <c r="E90" s="373">
        <f>E91-SUM(E79:E89)</f>
        <v>0</v>
      </c>
      <c r="G90" s="371" t="s">
        <v>445</v>
      </c>
      <c r="H90" s="373">
        <f>H91-SUM(H79:H89)</f>
        <v>738564</v>
      </c>
      <c r="I90" s="371" t="s">
        <v>105</v>
      </c>
      <c r="J90" s="373">
        <f>J91-SUM(J79:J89)</f>
        <v>312</v>
      </c>
    </row>
    <row r="91" spans="1:10">
      <c r="B91" s="371" t="s">
        <v>106</v>
      </c>
      <c r="C91" s="373">
        <v>3160344</v>
      </c>
      <c r="D91" s="371" t="s">
        <v>106</v>
      </c>
      <c r="E91" s="373">
        <v>1111751</v>
      </c>
      <c r="G91" s="371" t="s">
        <v>106</v>
      </c>
      <c r="H91" s="373">
        <v>4631168</v>
      </c>
      <c r="I91" s="371" t="s">
        <v>106</v>
      </c>
      <c r="J91" s="373">
        <v>163706</v>
      </c>
    </row>
    <row r="93" spans="1:10">
      <c r="B93" s="482" t="s">
        <v>446</v>
      </c>
      <c r="G93" s="55" t="s">
        <v>403</v>
      </c>
    </row>
    <row r="94" spans="1:10">
      <c r="B94" s="30" t="s">
        <v>101</v>
      </c>
      <c r="C94" s="369" t="s">
        <v>102</v>
      </c>
      <c r="D94" s="30" t="s">
        <v>103</v>
      </c>
      <c r="E94" s="369" t="s">
        <v>104</v>
      </c>
      <c r="G94" s="30" t="s">
        <v>101</v>
      </c>
      <c r="H94" s="369" t="s">
        <v>102</v>
      </c>
      <c r="I94" s="30" t="s">
        <v>103</v>
      </c>
      <c r="J94" s="369" t="s">
        <v>104</v>
      </c>
    </row>
    <row r="95" spans="1:10">
      <c r="A95" s="13">
        <v>1</v>
      </c>
      <c r="B95" s="371" t="s">
        <v>248</v>
      </c>
      <c r="C95" s="373">
        <v>1948588</v>
      </c>
      <c r="D95" s="374" t="s">
        <v>386</v>
      </c>
      <c r="E95" s="373">
        <v>1848388</v>
      </c>
      <c r="G95" s="371" t="s">
        <v>247</v>
      </c>
      <c r="H95" s="373">
        <v>1842773</v>
      </c>
      <c r="I95" s="371" t="s">
        <v>13</v>
      </c>
      <c r="J95" s="373">
        <v>1067675</v>
      </c>
    </row>
    <row r="96" spans="1:10">
      <c r="A96" s="13">
        <v>2</v>
      </c>
      <c r="B96" s="371" t="s">
        <v>241</v>
      </c>
      <c r="C96" s="373">
        <v>1278220</v>
      </c>
      <c r="D96" s="374" t="s">
        <v>241</v>
      </c>
      <c r="E96" s="373">
        <v>822802</v>
      </c>
      <c r="G96" s="371" t="s">
        <v>462</v>
      </c>
      <c r="H96" s="373">
        <v>387253</v>
      </c>
      <c r="I96" s="371" t="s">
        <v>386</v>
      </c>
      <c r="J96" s="373">
        <v>367168</v>
      </c>
    </row>
    <row r="97" spans="1:15">
      <c r="A97" s="13">
        <v>3</v>
      </c>
      <c r="B97" s="371" t="s">
        <v>462</v>
      </c>
      <c r="C97" s="373">
        <v>1150793</v>
      </c>
      <c r="D97" s="374" t="s">
        <v>468</v>
      </c>
      <c r="E97" s="373">
        <v>327168</v>
      </c>
      <c r="G97" s="371" t="s">
        <v>241</v>
      </c>
      <c r="H97" s="373">
        <v>289456</v>
      </c>
      <c r="I97" s="371" t="s">
        <v>241</v>
      </c>
      <c r="J97" s="373">
        <v>304732</v>
      </c>
    </row>
    <row r="98" spans="1:15">
      <c r="A98" s="13">
        <v>4</v>
      </c>
      <c r="B98" s="371" t="s">
        <v>465</v>
      </c>
      <c r="C98" s="373">
        <v>968366</v>
      </c>
      <c r="D98" s="374" t="s">
        <v>251</v>
      </c>
      <c r="E98" s="373">
        <v>55059</v>
      </c>
      <c r="G98" s="371" t="s">
        <v>465</v>
      </c>
      <c r="H98" s="373">
        <v>206569</v>
      </c>
      <c r="I98" s="371" t="s">
        <v>463</v>
      </c>
      <c r="J98" s="373">
        <v>5650</v>
      </c>
    </row>
    <row r="99" spans="1:15">
      <c r="A99" s="13">
        <v>5</v>
      </c>
      <c r="B99" s="371" t="s">
        <v>247</v>
      </c>
      <c r="C99" s="373">
        <v>652789</v>
      </c>
      <c r="D99" s="374" t="s">
        <v>466</v>
      </c>
      <c r="E99" s="373">
        <v>19274</v>
      </c>
      <c r="G99" s="371" t="s">
        <v>11</v>
      </c>
      <c r="H99" s="373">
        <v>141425</v>
      </c>
      <c r="I99" s="371" t="s">
        <v>466</v>
      </c>
      <c r="J99" s="373">
        <v>145</v>
      </c>
    </row>
    <row r="100" spans="1:15">
      <c r="A100" s="13">
        <v>6</v>
      </c>
      <c r="B100" s="371" t="s">
        <v>463</v>
      </c>
      <c r="C100" s="373">
        <v>518824</v>
      </c>
      <c r="D100" s="374" t="s">
        <v>11</v>
      </c>
      <c r="E100" s="373">
        <v>14883</v>
      </c>
      <c r="G100" s="371" t="s">
        <v>249</v>
      </c>
      <c r="H100" s="373">
        <v>140702</v>
      </c>
      <c r="I100" s="371" t="s">
        <v>470</v>
      </c>
      <c r="J100" s="373">
        <v>33</v>
      </c>
    </row>
    <row r="101" spans="1:15">
      <c r="A101" s="13">
        <v>7</v>
      </c>
      <c r="B101" s="371" t="s">
        <v>10</v>
      </c>
      <c r="C101" s="373">
        <v>308246</v>
      </c>
      <c r="D101" s="374" t="s">
        <v>473</v>
      </c>
      <c r="E101" s="373">
        <v>13205</v>
      </c>
      <c r="G101" s="371" t="s">
        <v>464</v>
      </c>
      <c r="H101" s="373">
        <v>97898</v>
      </c>
      <c r="I101" s="371" t="s">
        <v>473</v>
      </c>
      <c r="J101" s="373">
        <v>33</v>
      </c>
    </row>
    <row r="102" spans="1:15">
      <c r="A102" s="13">
        <v>8</v>
      </c>
      <c r="B102" s="371" t="s">
        <v>258</v>
      </c>
      <c r="C102" s="373">
        <v>272109</v>
      </c>
      <c r="D102" s="374" t="s">
        <v>248</v>
      </c>
      <c r="E102" s="373">
        <v>9724</v>
      </c>
      <c r="G102" s="371" t="s">
        <v>248</v>
      </c>
      <c r="H102" s="373">
        <v>91196</v>
      </c>
      <c r="I102" s="371" t="s">
        <v>471</v>
      </c>
      <c r="J102" s="373">
        <v>16</v>
      </c>
    </row>
    <row r="103" spans="1:15">
      <c r="A103" s="13">
        <v>9</v>
      </c>
      <c r="B103" s="371" t="s">
        <v>12</v>
      </c>
      <c r="C103" s="373">
        <v>259624</v>
      </c>
      <c r="D103" s="374" t="s">
        <v>462</v>
      </c>
      <c r="E103" s="373">
        <v>9560</v>
      </c>
      <c r="G103" s="371" t="s">
        <v>12</v>
      </c>
      <c r="H103" s="373">
        <v>85119</v>
      </c>
      <c r="I103" s="371"/>
      <c r="J103" s="373"/>
    </row>
    <row r="104" spans="1:15">
      <c r="A104" s="13">
        <v>10</v>
      </c>
      <c r="B104" s="371" t="s">
        <v>13</v>
      </c>
      <c r="C104" s="373">
        <v>238436</v>
      </c>
      <c r="D104" s="374" t="s">
        <v>474</v>
      </c>
      <c r="E104" s="373">
        <v>296</v>
      </c>
      <c r="G104" s="371" t="s">
        <v>258</v>
      </c>
      <c r="H104" s="373">
        <v>76511</v>
      </c>
      <c r="I104" s="371"/>
      <c r="J104" s="373"/>
    </row>
    <row r="105" spans="1:15">
      <c r="B105" s="371" t="s">
        <v>105</v>
      </c>
      <c r="C105" s="373">
        <f>C106-SUM(C94:C104)</f>
        <v>1278615</v>
      </c>
      <c r="D105" s="371" t="s">
        <v>105</v>
      </c>
      <c r="E105" s="373">
        <f>E106-SUM(E94:E104)</f>
        <v>0</v>
      </c>
      <c r="G105" s="374" t="s">
        <v>423</v>
      </c>
      <c r="H105" s="373">
        <f>H106-SUM(H94:H104)</f>
        <v>561595</v>
      </c>
      <c r="I105" s="371" t="s">
        <v>105</v>
      </c>
      <c r="J105" s="373">
        <f>J106-SUM(J94:J104)</f>
        <v>0</v>
      </c>
    </row>
    <row r="106" spans="1:15">
      <c r="B106" s="371" t="s">
        <v>106</v>
      </c>
      <c r="C106" s="373">
        <v>8874610</v>
      </c>
      <c r="D106" s="371" t="s">
        <v>106</v>
      </c>
      <c r="E106" s="373">
        <v>3120359</v>
      </c>
      <c r="G106" s="371" t="s">
        <v>106</v>
      </c>
      <c r="H106" s="373">
        <v>3920497</v>
      </c>
      <c r="I106" s="371" t="s">
        <v>106</v>
      </c>
      <c r="J106" s="373">
        <v>1745452</v>
      </c>
    </row>
    <row r="108" spans="1:15">
      <c r="B108" s="482" t="s">
        <v>447</v>
      </c>
      <c r="G108" s="269" t="s">
        <v>448</v>
      </c>
      <c r="L108" s="5"/>
      <c r="M108" s="5"/>
      <c r="N108" s="5"/>
      <c r="O108" s="5"/>
    </row>
    <row r="109" spans="1:15">
      <c r="B109" s="30" t="s">
        <v>101</v>
      </c>
      <c r="C109" s="369" t="s">
        <v>102</v>
      </c>
      <c r="D109" s="30" t="s">
        <v>103</v>
      </c>
      <c r="E109" s="369" t="s">
        <v>104</v>
      </c>
      <c r="G109" s="30" t="s">
        <v>101</v>
      </c>
      <c r="H109" s="369" t="s">
        <v>102</v>
      </c>
      <c r="I109" s="30" t="s">
        <v>103</v>
      </c>
      <c r="J109" s="369" t="s">
        <v>104</v>
      </c>
      <c r="L109" s="5"/>
      <c r="M109" s="5"/>
      <c r="N109" s="5"/>
      <c r="O109" s="5"/>
    </row>
    <row r="110" spans="1:15">
      <c r="A110" s="13">
        <v>1</v>
      </c>
      <c r="B110" s="483" t="s">
        <v>462</v>
      </c>
      <c r="C110" s="373">
        <v>2887812</v>
      </c>
      <c r="D110" s="371" t="s">
        <v>386</v>
      </c>
      <c r="E110" s="373">
        <v>5206307</v>
      </c>
      <c r="G110" s="371" t="s">
        <v>248</v>
      </c>
      <c r="H110" s="373">
        <v>3580486</v>
      </c>
      <c r="I110" s="374" t="s">
        <v>386</v>
      </c>
      <c r="J110" s="373">
        <v>681220</v>
      </c>
      <c r="L110" s="5"/>
      <c r="M110" s="5"/>
      <c r="N110" s="5"/>
      <c r="O110" s="5"/>
    </row>
    <row r="111" spans="1:15">
      <c r="A111" s="13">
        <v>2</v>
      </c>
      <c r="B111" s="483" t="s">
        <v>241</v>
      </c>
      <c r="C111" s="373">
        <v>1760119</v>
      </c>
      <c r="D111" s="371" t="s">
        <v>241</v>
      </c>
      <c r="E111" s="373">
        <v>377857</v>
      </c>
      <c r="G111" s="371" t="s">
        <v>247</v>
      </c>
      <c r="H111" s="373">
        <v>1380784</v>
      </c>
      <c r="I111" s="374" t="s">
        <v>241</v>
      </c>
      <c r="J111" s="373">
        <v>321815</v>
      </c>
      <c r="L111" s="5"/>
      <c r="M111" s="5"/>
      <c r="N111" s="5"/>
      <c r="O111" s="5"/>
    </row>
    <row r="112" spans="1:15">
      <c r="A112" s="13">
        <v>3</v>
      </c>
      <c r="B112" s="483" t="s">
        <v>248</v>
      </c>
      <c r="C112" s="373">
        <v>1694480</v>
      </c>
      <c r="D112" s="371" t="s">
        <v>471</v>
      </c>
      <c r="E112" s="373">
        <v>284418</v>
      </c>
      <c r="G112" s="371" t="s">
        <v>462</v>
      </c>
      <c r="H112" s="373">
        <v>1165634</v>
      </c>
      <c r="I112" s="374" t="s">
        <v>13</v>
      </c>
      <c r="J112" s="373">
        <v>90210</v>
      </c>
      <c r="L112" s="5"/>
      <c r="M112" s="5"/>
      <c r="N112" s="5"/>
      <c r="O112" s="5"/>
    </row>
    <row r="113" spans="1:15">
      <c r="A113" s="13">
        <v>4</v>
      </c>
      <c r="B113" s="483" t="s">
        <v>465</v>
      </c>
      <c r="C113" s="373">
        <v>951382</v>
      </c>
      <c r="D113" s="371" t="s">
        <v>510</v>
      </c>
      <c r="E113" s="373">
        <v>27332</v>
      </c>
      <c r="G113" s="371" t="s">
        <v>241</v>
      </c>
      <c r="H113" s="373">
        <v>1012750</v>
      </c>
      <c r="I113" s="374" t="s">
        <v>471</v>
      </c>
      <c r="J113" s="373">
        <v>78179</v>
      </c>
      <c r="L113" s="5"/>
      <c r="M113" s="5"/>
      <c r="N113" s="5"/>
      <c r="O113" s="5"/>
    </row>
    <row r="114" spans="1:15">
      <c r="A114" s="13">
        <v>5</v>
      </c>
      <c r="B114" s="483" t="s">
        <v>247</v>
      </c>
      <c r="C114" s="373">
        <v>748685</v>
      </c>
      <c r="D114" s="371" t="s">
        <v>466</v>
      </c>
      <c r="E114" s="373">
        <v>18397</v>
      </c>
      <c r="G114" s="371" t="s">
        <v>465</v>
      </c>
      <c r="H114" s="373">
        <v>624211</v>
      </c>
      <c r="I114" s="374" t="s">
        <v>466</v>
      </c>
      <c r="J114" s="373">
        <v>16524</v>
      </c>
      <c r="L114" s="5"/>
      <c r="M114" s="5"/>
      <c r="N114" s="5"/>
      <c r="O114" s="5"/>
    </row>
    <row r="115" spans="1:15">
      <c r="A115" s="13">
        <v>6</v>
      </c>
      <c r="B115" s="483" t="s">
        <v>12</v>
      </c>
      <c r="C115" s="373">
        <v>590966</v>
      </c>
      <c r="D115" s="371" t="s">
        <v>462</v>
      </c>
      <c r="E115" s="373">
        <v>4008</v>
      </c>
      <c r="G115" s="371" t="s">
        <v>13</v>
      </c>
      <c r="H115" s="373">
        <v>439816</v>
      </c>
      <c r="I115" s="374" t="s">
        <v>468</v>
      </c>
      <c r="J115" s="373">
        <v>14948</v>
      </c>
      <c r="L115" s="5"/>
      <c r="M115" s="5"/>
      <c r="N115" s="5"/>
      <c r="O115" s="5"/>
    </row>
    <row r="116" spans="1:15">
      <c r="A116" s="13">
        <v>7</v>
      </c>
      <c r="B116" s="483" t="s">
        <v>463</v>
      </c>
      <c r="C116" s="373">
        <v>474771</v>
      </c>
      <c r="D116" s="371"/>
      <c r="E116" s="373"/>
      <c r="G116" s="371" t="s">
        <v>249</v>
      </c>
      <c r="H116" s="373">
        <v>343659</v>
      </c>
      <c r="I116" s="374" t="s">
        <v>258</v>
      </c>
      <c r="J116" s="373">
        <v>8377</v>
      </c>
      <c r="L116" s="5"/>
      <c r="M116" s="5"/>
      <c r="N116" s="5"/>
      <c r="O116" s="5"/>
    </row>
    <row r="117" spans="1:15">
      <c r="A117" s="13">
        <v>8</v>
      </c>
      <c r="B117" s="483" t="s">
        <v>258</v>
      </c>
      <c r="C117" s="373">
        <v>406504</v>
      </c>
      <c r="D117" s="371"/>
      <c r="E117" s="373"/>
      <c r="G117" s="371" t="s">
        <v>463</v>
      </c>
      <c r="H117" s="373">
        <v>336400</v>
      </c>
      <c r="I117" s="374" t="s">
        <v>473</v>
      </c>
      <c r="J117" s="373">
        <v>7326</v>
      </c>
      <c r="L117" s="5"/>
      <c r="M117" s="5"/>
      <c r="N117" s="5"/>
      <c r="O117" s="5"/>
    </row>
    <row r="118" spans="1:15">
      <c r="A118" s="13">
        <v>9</v>
      </c>
      <c r="B118" s="483" t="s">
        <v>10</v>
      </c>
      <c r="C118" s="373">
        <v>395698</v>
      </c>
      <c r="D118" s="371"/>
      <c r="E118" s="373"/>
      <c r="G118" s="371" t="s">
        <v>12</v>
      </c>
      <c r="H118" s="373">
        <v>329963</v>
      </c>
      <c r="I118" s="374" t="s">
        <v>251</v>
      </c>
      <c r="J118" s="373">
        <v>3910</v>
      </c>
      <c r="L118" s="5"/>
      <c r="M118" s="5"/>
      <c r="N118" s="5"/>
      <c r="O118" s="5"/>
    </row>
    <row r="119" spans="1:15">
      <c r="A119" s="13">
        <v>10</v>
      </c>
      <c r="B119" s="483" t="s">
        <v>464</v>
      </c>
      <c r="C119" s="373">
        <v>332689</v>
      </c>
      <c r="D119" s="371"/>
      <c r="E119" s="373"/>
      <c r="G119" s="371" t="s">
        <v>10</v>
      </c>
      <c r="H119" s="373">
        <v>313240</v>
      </c>
      <c r="I119" s="374" t="s">
        <v>11</v>
      </c>
      <c r="J119" s="373">
        <v>447</v>
      </c>
      <c r="L119" s="5"/>
      <c r="M119" s="5"/>
      <c r="N119" s="5"/>
      <c r="O119" s="5"/>
    </row>
    <row r="120" spans="1:15">
      <c r="B120" s="371" t="s">
        <v>105</v>
      </c>
      <c r="C120" s="373">
        <f>C121-SUM(C109:C119)</f>
        <v>1401150</v>
      </c>
      <c r="D120" s="371" t="s">
        <v>105</v>
      </c>
      <c r="E120" s="373">
        <f>E121-SUM(E109:E119)</f>
        <v>0</v>
      </c>
      <c r="G120" s="371" t="s">
        <v>423</v>
      </c>
      <c r="H120" s="373">
        <f>H121-SUM(H109:H119)</f>
        <v>2149871</v>
      </c>
      <c r="I120" s="376" t="s">
        <v>105</v>
      </c>
      <c r="J120" s="373">
        <f>J121-SUM(J109:J119)</f>
        <v>296</v>
      </c>
      <c r="L120" s="5"/>
      <c r="M120" s="5"/>
      <c r="N120" s="5"/>
      <c r="O120" s="5"/>
    </row>
    <row r="121" spans="1:15">
      <c r="B121" s="371" t="s">
        <v>106</v>
      </c>
      <c r="C121" s="373">
        <v>11644256</v>
      </c>
      <c r="D121" s="371" t="s">
        <v>106</v>
      </c>
      <c r="E121" s="373">
        <v>5918319</v>
      </c>
      <c r="G121" s="371" t="s">
        <v>106</v>
      </c>
      <c r="H121" s="373">
        <v>11676814</v>
      </c>
      <c r="I121" s="371" t="s">
        <v>106</v>
      </c>
      <c r="J121" s="373">
        <v>1223252</v>
      </c>
    </row>
    <row r="122" spans="1:15">
      <c r="G122" s="5"/>
      <c r="H122" s="97"/>
      <c r="I122" s="5"/>
      <c r="J122" s="97"/>
    </row>
    <row r="123" spans="1:15">
      <c r="B123" s="482" t="s">
        <v>449</v>
      </c>
      <c r="G123" s="55" t="s">
        <v>450</v>
      </c>
    </row>
    <row r="124" spans="1:15">
      <c r="B124" s="30" t="s">
        <v>101</v>
      </c>
      <c r="C124" s="369" t="s">
        <v>102</v>
      </c>
      <c r="D124" s="30" t="s">
        <v>103</v>
      </c>
      <c r="E124" s="369" t="s">
        <v>104</v>
      </c>
      <c r="G124" s="30" t="s">
        <v>101</v>
      </c>
      <c r="H124" s="369" t="s">
        <v>102</v>
      </c>
      <c r="I124" s="30" t="s">
        <v>103</v>
      </c>
      <c r="J124" s="369" t="s">
        <v>104</v>
      </c>
    </row>
    <row r="125" spans="1:15">
      <c r="A125" s="13">
        <v>1</v>
      </c>
      <c r="B125" s="371" t="s">
        <v>248</v>
      </c>
      <c r="C125" s="373">
        <v>99244</v>
      </c>
      <c r="D125" s="371" t="s">
        <v>386</v>
      </c>
      <c r="E125" s="373">
        <v>49474</v>
      </c>
      <c r="G125" s="371" t="s">
        <v>248</v>
      </c>
      <c r="H125" s="373">
        <v>903548</v>
      </c>
      <c r="I125" s="371" t="s">
        <v>241</v>
      </c>
      <c r="J125" s="373">
        <v>284740</v>
      </c>
    </row>
    <row r="126" spans="1:15">
      <c r="A126" s="13">
        <v>2</v>
      </c>
      <c r="B126" s="371" t="s">
        <v>465</v>
      </c>
      <c r="C126" s="373">
        <v>58771</v>
      </c>
      <c r="D126" s="371" t="s">
        <v>463</v>
      </c>
      <c r="E126" s="373">
        <v>43462</v>
      </c>
      <c r="G126" s="371" t="s">
        <v>247</v>
      </c>
      <c r="H126" s="373">
        <v>349540</v>
      </c>
      <c r="I126" s="371" t="s">
        <v>463</v>
      </c>
      <c r="J126" s="373">
        <v>16950</v>
      </c>
    </row>
    <row r="127" spans="1:15">
      <c r="A127" s="13">
        <v>3</v>
      </c>
      <c r="B127" s="371" t="s">
        <v>241</v>
      </c>
      <c r="C127" s="373">
        <v>29468</v>
      </c>
      <c r="D127" s="371" t="s">
        <v>468</v>
      </c>
      <c r="E127" s="373">
        <v>27924</v>
      </c>
      <c r="G127" s="371" t="s">
        <v>465</v>
      </c>
      <c r="H127" s="373">
        <v>210053</v>
      </c>
      <c r="I127" s="371"/>
      <c r="J127" s="373"/>
    </row>
    <row r="128" spans="1:15">
      <c r="A128" s="13">
        <v>4</v>
      </c>
      <c r="B128" s="371" t="s">
        <v>8</v>
      </c>
      <c r="C128" s="373">
        <v>25230</v>
      </c>
      <c r="D128" s="371" t="s">
        <v>241</v>
      </c>
      <c r="E128" s="373">
        <v>15045</v>
      </c>
      <c r="G128" s="371" t="s">
        <v>10</v>
      </c>
      <c r="H128" s="373">
        <v>165900</v>
      </c>
      <c r="I128" s="371"/>
      <c r="J128" s="373"/>
    </row>
    <row r="129" spans="1:15">
      <c r="A129" s="13">
        <v>5</v>
      </c>
      <c r="B129" s="371" t="s">
        <v>249</v>
      </c>
      <c r="C129" s="373">
        <v>18265</v>
      </c>
      <c r="D129" s="371"/>
      <c r="E129" s="373"/>
      <c r="G129" s="371" t="s">
        <v>467</v>
      </c>
      <c r="H129" s="373">
        <v>126544</v>
      </c>
      <c r="I129" s="371"/>
      <c r="J129" s="373"/>
    </row>
    <row r="130" spans="1:15">
      <c r="A130" s="13">
        <v>6</v>
      </c>
      <c r="B130" s="371" t="s">
        <v>506</v>
      </c>
      <c r="C130" s="373">
        <v>16294</v>
      </c>
      <c r="D130" s="371"/>
      <c r="E130" s="373"/>
      <c r="G130" s="371" t="s">
        <v>462</v>
      </c>
      <c r="H130" s="373">
        <v>118526</v>
      </c>
      <c r="I130" s="371"/>
      <c r="J130" s="373"/>
    </row>
    <row r="131" spans="1:15">
      <c r="A131" s="13">
        <v>7</v>
      </c>
      <c r="B131" s="374" t="s">
        <v>460</v>
      </c>
      <c r="C131" s="373">
        <v>6767</v>
      </c>
      <c r="D131" s="371"/>
      <c r="E131" s="373"/>
      <c r="G131" s="371" t="s">
        <v>260</v>
      </c>
      <c r="H131" s="373">
        <v>100821</v>
      </c>
      <c r="I131" s="371"/>
      <c r="J131" s="373"/>
    </row>
    <row r="132" spans="1:15">
      <c r="A132" s="13">
        <v>8</v>
      </c>
      <c r="B132" s="371" t="s">
        <v>259</v>
      </c>
      <c r="C132" s="373">
        <v>5946</v>
      </c>
      <c r="D132" s="371"/>
      <c r="E132" s="373"/>
      <c r="G132" s="371" t="s">
        <v>272</v>
      </c>
      <c r="H132" s="373">
        <v>97667</v>
      </c>
      <c r="I132" s="371"/>
      <c r="J132" s="373"/>
    </row>
    <row r="133" spans="1:15">
      <c r="A133" s="13">
        <v>9</v>
      </c>
      <c r="B133" s="371" t="s">
        <v>511</v>
      </c>
      <c r="C133" s="373">
        <v>5848</v>
      </c>
      <c r="D133" s="371"/>
      <c r="E133" s="373"/>
      <c r="G133" s="371" t="s">
        <v>241</v>
      </c>
      <c r="H133" s="373">
        <v>83246</v>
      </c>
      <c r="I133" s="371"/>
      <c r="J133" s="373"/>
    </row>
    <row r="134" spans="1:15">
      <c r="A134" s="13">
        <v>10</v>
      </c>
      <c r="B134" s="371" t="s">
        <v>512</v>
      </c>
      <c r="C134" s="373">
        <v>5486</v>
      </c>
      <c r="D134" s="94"/>
      <c r="E134" s="27"/>
      <c r="G134" s="371" t="s">
        <v>12</v>
      </c>
      <c r="H134" s="373">
        <v>80618</v>
      </c>
      <c r="I134" s="371"/>
      <c r="J134" s="373"/>
    </row>
    <row r="135" spans="1:15">
      <c r="B135" s="374" t="s">
        <v>423</v>
      </c>
      <c r="C135" s="373">
        <f>C136-SUM(C125:C134)</f>
        <v>24408</v>
      </c>
      <c r="D135" s="371" t="s">
        <v>105</v>
      </c>
      <c r="E135" s="373">
        <f>E136-SUM(E125:E134)</f>
        <v>0</v>
      </c>
      <c r="G135" s="371" t="s">
        <v>105</v>
      </c>
      <c r="H135" s="373">
        <f>H136-SUM(H125:H134)</f>
        <v>388631</v>
      </c>
      <c r="I135" s="371" t="s">
        <v>105</v>
      </c>
      <c r="J135" s="373">
        <f>J136-SUM(J125:J134)</f>
        <v>0</v>
      </c>
    </row>
    <row r="136" spans="1:15">
      <c r="B136" s="371" t="s">
        <v>106</v>
      </c>
      <c r="C136" s="373">
        <v>295727</v>
      </c>
      <c r="D136" s="371" t="s">
        <v>106</v>
      </c>
      <c r="E136" s="373">
        <v>135905</v>
      </c>
      <c r="G136" s="371" t="s">
        <v>106</v>
      </c>
      <c r="H136" s="373">
        <v>2625094</v>
      </c>
      <c r="I136" s="371" t="s">
        <v>106</v>
      </c>
      <c r="J136" s="373">
        <v>301690</v>
      </c>
    </row>
    <row r="138" spans="1:15">
      <c r="B138" s="55" t="s">
        <v>451</v>
      </c>
      <c r="G138" s="482" t="s">
        <v>431</v>
      </c>
      <c r="L138" s="5"/>
      <c r="M138" s="5"/>
      <c r="N138" s="5"/>
      <c r="O138" s="5"/>
    </row>
    <row r="139" spans="1:15">
      <c r="B139" s="30" t="s">
        <v>101</v>
      </c>
      <c r="C139" s="369" t="s">
        <v>102</v>
      </c>
      <c r="D139" s="30" t="s">
        <v>103</v>
      </c>
      <c r="E139" s="369" t="s">
        <v>104</v>
      </c>
      <c r="G139" s="30" t="s">
        <v>101</v>
      </c>
      <c r="H139" s="369" t="s">
        <v>102</v>
      </c>
      <c r="I139" s="30" t="s">
        <v>103</v>
      </c>
      <c r="J139" s="369" t="s">
        <v>104</v>
      </c>
      <c r="L139" s="5"/>
      <c r="M139" s="5"/>
      <c r="N139" s="5"/>
      <c r="O139" s="5"/>
    </row>
    <row r="140" spans="1:15">
      <c r="A140" s="13">
        <v>1</v>
      </c>
      <c r="B140" s="374" t="s">
        <v>248</v>
      </c>
      <c r="C140" s="373">
        <v>1618627</v>
      </c>
      <c r="D140" s="371" t="s">
        <v>241</v>
      </c>
      <c r="E140" s="373">
        <v>967335</v>
      </c>
      <c r="G140" s="371" t="s">
        <v>248</v>
      </c>
      <c r="H140" s="373">
        <v>723359</v>
      </c>
      <c r="I140" s="371" t="s">
        <v>241</v>
      </c>
      <c r="J140" s="373">
        <v>1669061</v>
      </c>
      <c r="L140" s="5"/>
      <c r="M140" s="5"/>
      <c r="N140" s="5"/>
      <c r="O140" s="5"/>
    </row>
    <row r="141" spans="1:15">
      <c r="A141" s="13">
        <v>2</v>
      </c>
      <c r="B141" s="374" t="s">
        <v>247</v>
      </c>
      <c r="C141" s="373">
        <v>1251579</v>
      </c>
      <c r="D141" s="371" t="s">
        <v>466</v>
      </c>
      <c r="E141" s="373">
        <v>22011</v>
      </c>
      <c r="G141" s="371" t="s">
        <v>247</v>
      </c>
      <c r="H141" s="373">
        <v>683313</v>
      </c>
      <c r="I141" s="371" t="s">
        <v>463</v>
      </c>
      <c r="J141" s="373">
        <v>227103</v>
      </c>
      <c r="L141" s="5"/>
      <c r="M141" s="5"/>
      <c r="N141" s="5"/>
      <c r="O141" s="5"/>
    </row>
    <row r="142" spans="1:15">
      <c r="A142" s="13">
        <v>3</v>
      </c>
      <c r="B142" s="374" t="s">
        <v>462</v>
      </c>
      <c r="C142" s="373">
        <v>1109130</v>
      </c>
      <c r="D142" s="371" t="s">
        <v>463</v>
      </c>
      <c r="E142" s="373">
        <v>19514</v>
      </c>
      <c r="G142" s="371" t="s">
        <v>462</v>
      </c>
      <c r="H142" s="373">
        <v>441294</v>
      </c>
      <c r="I142" s="371" t="s">
        <v>469</v>
      </c>
      <c r="J142" s="373">
        <v>16754</v>
      </c>
      <c r="L142" s="5"/>
      <c r="M142" s="5"/>
      <c r="N142" s="5"/>
      <c r="O142" s="5"/>
    </row>
    <row r="143" spans="1:15">
      <c r="A143" s="13">
        <v>4</v>
      </c>
      <c r="B143" s="374" t="s">
        <v>10</v>
      </c>
      <c r="C143" s="373">
        <v>556572</v>
      </c>
      <c r="D143" s="371" t="s">
        <v>471</v>
      </c>
      <c r="E143" s="373">
        <v>7161</v>
      </c>
      <c r="G143" s="371" t="s">
        <v>12</v>
      </c>
      <c r="H143" s="373">
        <v>298752</v>
      </c>
      <c r="I143" s="371" t="s">
        <v>462</v>
      </c>
      <c r="J143" s="373">
        <v>1544</v>
      </c>
      <c r="L143" s="5"/>
      <c r="M143" s="5"/>
      <c r="N143" s="5"/>
      <c r="O143" s="5"/>
    </row>
    <row r="144" spans="1:15">
      <c r="A144" s="13">
        <v>5</v>
      </c>
      <c r="B144" s="374" t="s">
        <v>465</v>
      </c>
      <c r="C144" s="373">
        <v>509398</v>
      </c>
      <c r="D144" s="371" t="s">
        <v>469</v>
      </c>
      <c r="E144" s="373">
        <v>854</v>
      </c>
      <c r="G144" s="371" t="s">
        <v>465</v>
      </c>
      <c r="H144" s="373">
        <v>216724</v>
      </c>
      <c r="I144" s="371" t="s">
        <v>386</v>
      </c>
      <c r="J144" s="373">
        <v>788</v>
      </c>
      <c r="L144" s="5"/>
      <c r="M144" s="5"/>
      <c r="N144" s="5"/>
      <c r="O144" s="5"/>
    </row>
    <row r="145" spans="1:15">
      <c r="A145" s="13">
        <v>6</v>
      </c>
      <c r="B145" s="374" t="s">
        <v>463</v>
      </c>
      <c r="C145" s="373">
        <v>362680</v>
      </c>
      <c r="D145" s="371" t="s">
        <v>11</v>
      </c>
      <c r="E145" s="373">
        <v>197</v>
      </c>
      <c r="G145" s="371" t="s">
        <v>11</v>
      </c>
      <c r="H145" s="373">
        <v>204041</v>
      </c>
      <c r="I145" s="371" t="s">
        <v>466</v>
      </c>
      <c r="J145" s="373">
        <v>427</v>
      </c>
      <c r="L145" s="5"/>
      <c r="M145" s="5"/>
      <c r="N145" s="5"/>
      <c r="O145" s="5"/>
    </row>
    <row r="146" spans="1:15">
      <c r="A146" s="13">
        <v>7</v>
      </c>
      <c r="B146" s="374" t="s">
        <v>272</v>
      </c>
      <c r="C146" s="373">
        <v>265671</v>
      </c>
      <c r="D146" s="371"/>
      <c r="E146" s="373"/>
      <c r="G146" s="371" t="s">
        <v>241</v>
      </c>
      <c r="H146" s="373">
        <v>182589</v>
      </c>
      <c r="I146" s="371" t="s">
        <v>248</v>
      </c>
      <c r="J146" s="373">
        <v>361</v>
      </c>
      <c r="L146" s="5"/>
      <c r="M146" s="5"/>
      <c r="N146" s="5"/>
      <c r="O146" s="5"/>
    </row>
    <row r="147" spans="1:15">
      <c r="A147" s="13">
        <v>8</v>
      </c>
      <c r="B147" s="374" t="s">
        <v>241</v>
      </c>
      <c r="C147" s="373">
        <v>231177</v>
      </c>
      <c r="D147" s="371"/>
      <c r="E147" s="373"/>
      <c r="G147" s="371" t="s">
        <v>464</v>
      </c>
      <c r="H147" s="373">
        <v>176049</v>
      </c>
      <c r="I147" s="371"/>
      <c r="J147" s="373"/>
      <c r="L147" s="5"/>
      <c r="M147" s="5"/>
      <c r="N147" s="5"/>
      <c r="O147" s="5"/>
    </row>
    <row r="148" spans="1:15">
      <c r="A148" s="13">
        <v>9</v>
      </c>
      <c r="B148" s="374" t="s">
        <v>16</v>
      </c>
      <c r="C148" s="373">
        <v>226642</v>
      </c>
      <c r="D148" s="371"/>
      <c r="E148" s="373"/>
      <c r="G148" s="371" t="s">
        <v>249</v>
      </c>
      <c r="H148" s="373">
        <v>142609</v>
      </c>
      <c r="I148" s="371"/>
      <c r="J148" s="373"/>
      <c r="L148" s="5"/>
      <c r="M148" s="5"/>
      <c r="N148" s="5"/>
      <c r="O148" s="5"/>
    </row>
    <row r="149" spans="1:15">
      <c r="A149" s="13">
        <v>10</v>
      </c>
      <c r="B149" s="374" t="s">
        <v>259</v>
      </c>
      <c r="C149" s="373">
        <v>139027</v>
      </c>
      <c r="D149" s="371"/>
      <c r="E149" s="373"/>
      <c r="G149" s="371" t="s">
        <v>7</v>
      </c>
      <c r="H149" s="373">
        <v>129007</v>
      </c>
      <c r="I149" s="371"/>
      <c r="J149" s="373"/>
      <c r="L149" s="5"/>
      <c r="M149" s="5"/>
      <c r="N149" s="5"/>
      <c r="O149" s="5"/>
    </row>
    <row r="150" spans="1:15">
      <c r="B150" s="371" t="s">
        <v>445</v>
      </c>
      <c r="C150" s="373">
        <f>C151-SUM(C139:C149)</f>
        <v>611436</v>
      </c>
      <c r="D150" s="371" t="s">
        <v>105</v>
      </c>
      <c r="E150" s="373">
        <f>E151-SUM(E140:E149)</f>
        <v>0</v>
      </c>
      <c r="G150" s="371" t="s">
        <v>452</v>
      </c>
      <c r="H150" s="373">
        <f>H151-SUM(H140:H149)</f>
        <v>821989</v>
      </c>
      <c r="I150" s="371" t="s">
        <v>105</v>
      </c>
      <c r="J150" s="373">
        <f>J151-SUM(J140:J149)</f>
        <v>0</v>
      </c>
      <c r="L150" s="5"/>
      <c r="M150" s="5"/>
      <c r="N150" s="5"/>
      <c r="O150" s="5"/>
    </row>
    <row r="151" spans="1:15">
      <c r="B151" s="371" t="s">
        <v>106</v>
      </c>
      <c r="C151" s="373">
        <v>6881939</v>
      </c>
      <c r="D151" s="371" t="s">
        <v>106</v>
      </c>
      <c r="E151" s="373">
        <v>1017072</v>
      </c>
      <c r="G151" s="371" t="s">
        <v>106</v>
      </c>
      <c r="H151" s="373">
        <v>4019726</v>
      </c>
      <c r="I151" s="371" t="s">
        <v>106</v>
      </c>
      <c r="J151" s="373">
        <v>1916038</v>
      </c>
      <c r="L151" s="5"/>
      <c r="M151" s="5"/>
      <c r="N151" s="5"/>
      <c r="O151" s="5"/>
    </row>
    <row r="153" spans="1:15">
      <c r="B153" s="482" t="s">
        <v>453</v>
      </c>
      <c r="G153" s="482" t="s">
        <v>432</v>
      </c>
    </row>
    <row r="154" spans="1:15">
      <c r="B154" s="30" t="s">
        <v>101</v>
      </c>
      <c r="C154" s="369" t="s">
        <v>102</v>
      </c>
      <c r="D154" s="30" t="s">
        <v>103</v>
      </c>
      <c r="E154" s="369" t="s">
        <v>104</v>
      </c>
      <c r="G154" s="30" t="s">
        <v>101</v>
      </c>
      <c r="H154" s="369" t="s">
        <v>102</v>
      </c>
      <c r="I154" s="30" t="s">
        <v>103</v>
      </c>
      <c r="J154" s="369" t="s">
        <v>104</v>
      </c>
    </row>
    <row r="155" spans="1:15">
      <c r="A155" s="13">
        <v>1</v>
      </c>
      <c r="B155" s="371" t="s">
        <v>462</v>
      </c>
      <c r="C155" s="373">
        <v>2659887</v>
      </c>
      <c r="D155" s="483" t="s">
        <v>241</v>
      </c>
      <c r="E155" s="373">
        <v>450987</v>
      </c>
      <c r="G155" s="371" t="s">
        <v>462</v>
      </c>
      <c r="H155" s="373">
        <v>264621</v>
      </c>
      <c r="I155" s="371" t="s">
        <v>241</v>
      </c>
      <c r="J155" s="373">
        <v>131557</v>
      </c>
    </row>
    <row r="156" spans="1:15">
      <c r="A156" s="13">
        <v>2</v>
      </c>
      <c r="B156" s="371" t="s">
        <v>248</v>
      </c>
      <c r="C156" s="373">
        <v>711760</v>
      </c>
      <c r="D156" s="483" t="s">
        <v>470</v>
      </c>
      <c r="E156" s="373">
        <v>421451</v>
      </c>
      <c r="G156" s="371" t="s">
        <v>386</v>
      </c>
      <c r="H156" s="373">
        <v>149377</v>
      </c>
      <c r="I156" s="371" t="s">
        <v>463</v>
      </c>
      <c r="J156" s="373">
        <v>83607</v>
      </c>
    </row>
    <row r="157" spans="1:15">
      <c r="A157" s="13">
        <v>3</v>
      </c>
      <c r="B157" s="371" t="s">
        <v>241</v>
      </c>
      <c r="C157" s="373">
        <v>677892</v>
      </c>
      <c r="D157" s="483" t="s">
        <v>463</v>
      </c>
      <c r="E157" s="373">
        <v>326940</v>
      </c>
      <c r="G157" s="371" t="s">
        <v>248</v>
      </c>
      <c r="H157" s="373">
        <v>24081</v>
      </c>
      <c r="I157" s="371" t="s">
        <v>470</v>
      </c>
      <c r="J157" s="373">
        <v>12550</v>
      </c>
    </row>
    <row r="158" spans="1:15">
      <c r="A158" s="13">
        <v>4</v>
      </c>
      <c r="B158" s="371" t="s">
        <v>247</v>
      </c>
      <c r="C158" s="373">
        <v>330814</v>
      </c>
      <c r="D158" s="483" t="s">
        <v>471</v>
      </c>
      <c r="E158" s="373">
        <v>225656</v>
      </c>
      <c r="G158" s="371" t="s">
        <v>463</v>
      </c>
      <c r="H158" s="373">
        <v>15572</v>
      </c>
      <c r="I158" s="371" t="s">
        <v>466</v>
      </c>
      <c r="J158" s="373">
        <v>723</v>
      </c>
    </row>
    <row r="159" spans="1:15">
      <c r="A159" s="13">
        <v>5</v>
      </c>
      <c r="B159" s="371" t="s">
        <v>265</v>
      </c>
      <c r="C159" s="373">
        <v>298127</v>
      </c>
      <c r="D159" s="483" t="s">
        <v>248</v>
      </c>
      <c r="E159" s="373">
        <v>69580</v>
      </c>
      <c r="G159" s="371" t="s">
        <v>8</v>
      </c>
      <c r="H159" s="373">
        <v>14323</v>
      </c>
      <c r="I159" s="371" t="s">
        <v>248</v>
      </c>
      <c r="J159" s="373">
        <v>33</v>
      </c>
    </row>
    <row r="160" spans="1:15">
      <c r="A160" s="13">
        <v>6</v>
      </c>
      <c r="B160" s="371" t="s">
        <v>8</v>
      </c>
      <c r="C160" s="373">
        <v>278778</v>
      </c>
      <c r="D160" s="483" t="s">
        <v>11</v>
      </c>
      <c r="E160" s="373">
        <v>16590</v>
      </c>
      <c r="G160" s="371" t="s">
        <v>241</v>
      </c>
      <c r="H160" s="373">
        <v>13304</v>
      </c>
      <c r="I160" s="371"/>
      <c r="J160" s="373"/>
    </row>
    <row r="161" spans="1:10">
      <c r="A161" s="13">
        <v>7</v>
      </c>
      <c r="B161" s="371" t="s">
        <v>259</v>
      </c>
      <c r="C161" s="373">
        <v>239454</v>
      </c>
      <c r="D161" s="483" t="s">
        <v>249</v>
      </c>
      <c r="E161" s="373">
        <v>12714</v>
      </c>
      <c r="G161" s="371" t="s">
        <v>265</v>
      </c>
      <c r="H161" s="373">
        <v>13141</v>
      </c>
      <c r="I161" s="371"/>
      <c r="J161" s="373"/>
    </row>
    <row r="162" spans="1:10">
      <c r="A162" s="13">
        <v>8</v>
      </c>
      <c r="B162" s="371" t="s">
        <v>10</v>
      </c>
      <c r="C162" s="373">
        <v>221879</v>
      </c>
      <c r="D162" s="483" t="s">
        <v>386</v>
      </c>
      <c r="E162" s="373">
        <v>4895</v>
      </c>
      <c r="G162" s="371" t="s">
        <v>10</v>
      </c>
      <c r="H162" s="373">
        <v>13009</v>
      </c>
      <c r="I162" s="371"/>
      <c r="J162" s="373"/>
    </row>
    <row r="163" spans="1:10">
      <c r="A163" s="13">
        <v>9</v>
      </c>
      <c r="B163" s="371" t="s">
        <v>249</v>
      </c>
      <c r="C163" s="373">
        <v>214225</v>
      </c>
      <c r="D163" s="483" t="s">
        <v>16</v>
      </c>
      <c r="E163" s="373">
        <v>2332</v>
      </c>
      <c r="G163" s="371" t="s">
        <v>7</v>
      </c>
      <c r="H163" s="373">
        <v>8311</v>
      </c>
      <c r="I163" s="371"/>
      <c r="J163" s="373"/>
    </row>
    <row r="164" spans="1:10">
      <c r="A164" s="13">
        <v>10</v>
      </c>
      <c r="B164" s="371" t="s">
        <v>472</v>
      </c>
      <c r="C164" s="373">
        <v>206242</v>
      </c>
      <c r="D164" s="483"/>
      <c r="E164" s="373"/>
      <c r="G164" s="371" t="s">
        <v>16</v>
      </c>
      <c r="H164" s="373">
        <v>5716</v>
      </c>
      <c r="I164" s="371"/>
      <c r="J164" s="373"/>
    </row>
    <row r="165" spans="1:10">
      <c r="B165" s="371" t="s">
        <v>454</v>
      </c>
      <c r="C165" s="373">
        <f>C166-SUM(C155:C164)</f>
        <v>2333574</v>
      </c>
      <c r="D165" s="371" t="s">
        <v>105</v>
      </c>
      <c r="E165" s="373">
        <f>E166-SUM(E155:E164)</f>
        <v>0</v>
      </c>
      <c r="G165" s="371" t="s">
        <v>105</v>
      </c>
      <c r="H165" s="373">
        <f>H166-SUM(H155:H164)</f>
        <v>39224</v>
      </c>
      <c r="I165" s="371" t="s">
        <v>105</v>
      </c>
      <c r="J165" s="373">
        <f>J166-SUM(J155:J164)</f>
        <v>0</v>
      </c>
    </row>
    <row r="166" spans="1:10">
      <c r="B166" s="371" t="s">
        <v>106</v>
      </c>
      <c r="C166" s="373">
        <v>8172632</v>
      </c>
      <c r="D166" s="371" t="s">
        <v>106</v>
      </c>
      <c r="E166" s="373">
        <v>1531145</v>
      </c>
      <c r="G166" s="371" t="s">
        <v>106</v>
      </c>
      <c r="H166" s="373">
        <v>560679</v>
      </c>
      <c r="I166" s="371" t="s">
        <v>106</v>
      </c>
      <c r="J166" s="373">
        <v>228470</v>
      </c>
    </row>
    <row r="167" spans="1:10">
      <c r="B167" s="375"/>
    </row>
    <row r="168" spans="1:10">
      <c r="B168" s="54" t="s">
        <v>415</v>
      </c>
      <c r="C168" s="97"/>
      <c r="D168" s="5"/>
      <c r="E168" s="97"/>
      <c r="F168" s="5"/>
      <c r="G168" s="5"/>
      <c r="H168" s="97"/>
      <c r="I168" s="5"/>
      <c r="J168" s="97"/>
    </row>
    <row r="169" spans="1:10">
      <c r="B169" s="5"/>
      <c r="C169" s="97"/>
      <c r="D169" s="5"/>
      <c r="E169" s="97"/>
      <c r="F169" s="5"/>
      <c r="G169" s="5"/>
      <c r="H169" s="97"/>
      <c r="I169" s="5"/>
      <c r="J169" s="97"/>
    </row>
    <row r="170" spans="1:10">
      <c r="B170" s="5"/>
      <c r="C170" s="97"/>
      <c r="D170" s="5"/>
      <c r="E170" s="97"/>
      <c r="F170" s="5"/>
      <c r="G170" s="5"/>
      <c r="H170" s="97"/>
      <c r="I170" s="5"/>
      <c r="J170" s="97"/>
    </row>
    <row r="171" spans="1:10">
      <c r="B171" s="5"/>
      <c r="C171" s="97"/>
      <c r="D171" s="5"/>
      <c r="E171" s="97"/>
      <c r="F171" s="5"/>
      <c r="G171" s="5"/>
      <c r="H171" s="97"/>
      <c r="I171" s="5"/>
      <c r="J171" s="97"/>
    </row>
    <row r="172" spans="1:10">
      <c r="B172" s="5"/>
      <c r="C172" s="97"/>
      <c r="D172" s="5"/>
      <c r="E172" s="97"/>
      <c r="F172" s="5"/>
      <c r="G172" s="5"/>
      <c r="H172" s="97"/>
      <c r="I172" s="5"/>
      <c r="J172" s="97"/>
    </row>
    <row r="173" spans="1:10">
      <c r="B173" s="5"/>
      <c r="C173" s="97"/>
      <c r="D173" s="5"/>
      <c r="E173" s="97"/>
      <c r="F173" s="5"/>
      <c r="G173" s="5"/>
      <c r="H173" s="97"/>
      <c r="I173" s="5"/>
      <c r="J173" s="97"/>
    </row>
    <row r="174" spans="1:10">
      <c r="B174" s="5"/>
      <c r="C174" s="97"/>
      <c r="D174" s="5"/>
      <c r="E174" s="97"/>
      <c r="F174" s="5"/>
      <c r="G174" s="5"/>
      <c r="H174" s="97"/>
      <c r="I174" s="5"/>
      <c r="J174" s="97"/>
    </row>
    <row r="175" spans="1:10">
      <c r="B175" s="5"/>
      <c r="C175" s="97"/>
      <c r="D175" s="5"/>
      <c r="E175" s="97"/>
      <c r="F175" s="5"/>
      <c r="G175" s="5"/>
      <c r="H175" s="97"/>
      <c r="I175" s="5"/>
      <c r="J175" s="97"/>
    </row>
    <row r="176" spans="1:10">
      <c r="B176" s="5"/>
      <c r="C176" s="97"/>
      <c r="D176" s="5"/>
      <c r="E176" s="97"/>
      <c r="F176" s="5"/>
      <c r="G176" s="5"/>
      <c r="H176" s="97"/>
      <c r="I176" s="5"/>
      <c r="J176" s="97"/>
    </row>
    <row r="177" spans="2:10">
      <c r="B177" s="5"/>
      <c r="C177" s="97"/>
      <c r="D177" s="5"/>
      <c r="E177" s="97"/>
      <c r="F177" s="5"/>
      <c r="G177" s="5"/>
      <c r="H177" s="97"/>
      <c r="I177" s="5"/>
      <c r="J177" s="97"/>
    </row>
    <row r="178" spans="2:10">
      <c r="B178" s="5"/>
      <c r="C178" s="97"/>
      <c r="D178" s="5"/>
      <c r="E178" s="97"/>
      <c r="F178" s="5"/>
      <c r="G178" s="5"/>
      <c r="H178" s="97"/>
      <c r="I178" s="5"/>
      <c r="J178" s="97"/>
    </row>
    <row r="179" spans="2:10">
      <c r="B179" s="5"/>
      <c r="C179" s="97"/>
      <c r="D179" s="5"/>
      <c r="E179" s="97"/>
      <c r="F179" s="5"/>
      <c r="G179" s="5"/>
      <c r="H179" s="97"/>
      <c r="I179" s="5"/>
      <c r="J179" s="97"/>
    </row>
  </sheetData>
  <phoneticPr fontId="3" type="noConversion"/>
  <pageMargins left="0.31496062992125984" right="0.31496062992125984" top="0.35433070866141736" bottom="0.15748031496062992" header="0.31496062992125984" footer="0.31496062992125984"/>
  <pageSetup paperSize="9" scale="70" orientation="portrait" r:id="rId1"/>
  <rowBreaks count="2" manualBreakCount="2">
    <brk id="62" max="16383" man="1"/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41"/>
  <sheetViews>
    <sheetView zoomScaleNormal="100" workbookViewId="0">
      <selection activeCell="E26" sqref="E26"/>
    </sheetView>
  </sheetViews>
  <sheetFormatPr defaultRowHeight="16.5"/>
  <cols>
    <col min="1" max="1" width="7.125" style="5" customWidth="1"/>
    <col min="2" max="2" width="11.25" style="5" customWidth="1"/>
    <col min="3" max="3" width="12.375" style="59" customWidth="1"/>
    <col min="4" max="4" width="10" style="109" customWidth="1"/>
    <col min="5" max="5" width="15.625" style="5" customWidth="1"/>
    <col min="6" max="6" width="15.125" style="59" customWidth="1"/>
    <col min="7" max="7" width="11.125" style="109" customWidth="1"/>
    <col min="8" max="8" width="8.875" style="5"/>
    <col min="9" max="10" width="10.125" style="5" customWidth="1"/>
    <col min="11" max="256" width="8.875" style="5"/>
    <col min="257" max="257" width="7.125" style="5" customWidth="1"/>
    <col min="258" max="258" width="11.25" style="5" customWidth="1"/>
    <col min="259" max="259" width="12.375" style="5" customWidth="1"/>
    <col min="260" max="260" width="10" style="5" customWidth="1"/>
    <col min="261" max="261" width="15.625" style="5" customWidth="1"/>
    <col min="262" max="262" width="15.125" style="5" customWidth="1"/>
    <col min="263" max="263" width="11.125" style="5" customWidth="1"/>
    <col min="264" max="512" width="8.875" style="5"/>
    <col min="513" max="513" width="7.125" style="5" customWidth="1"/>
    <col min="514" max="514" width="11.25" style="5" customWidth="1"/>
    <col min="515" max="515" width="12.375" style="5" customWidth="1"/>
    <col min="516" max="516" width="10" style="5" customWidth="1"/>
    <col min="517" max="517" width="15.625" style="5" customWidth="1"/>
    <col min="518" max="518" width="15.125" style="5" customWidth="1"/>
    <col min="519" max="519" width="11.125" style="5" customWidth="1"/>
    <col min="520" max="768" width="8.875" style="5"/>
    <col min="769" max="769" width="7.125" style="5" customWidth="1"/>
    <col min="770" max="770" width="11.25" style="5" customWidth="1"/>
    <col min="771" max="771" width="12.375" style="5" customWidth="1"/>
    <col min="772" max="772" width="10" style="5" customWidth="1"/>
    <col min="773" max="773" width="15.625" style="5" customWidth="1"/>
    <col min="774" max="774" width="15.125" style="5" customWidth="1"/>
    <col min="775" max="775" width="11.125" style="5" customWidth="1"/>
    <col min="776" max="1024" width="8.875" style="5"/>
    <col min="1025" max="1025" width="7.125" style="5" customWidth="1"/>
    <col min="1026" max="1026" width="11.25" style="5" customWidth="1"/>
    <col min="1027" max="1027" width="12.375" style="5" customWidth="1"/>
    <col min="1028" max="1028" width="10" style="5" customWidth="1"/>
    <col min="1029" max="1029" width="15.625" style="5" customWidth="1"/>
    <col min="1030" max="1030" width="15.125" style="5" customWidth="1"/>
    <col min="1031" max="1031" width="11.125" style="5" customWidth="1"/>
    <col min="1032" max="1280" width="8.875" style="5"/>
    <col min="1281" max="1281" width="7.125" style="5" customWidth="1"/>
    <col min="1282" max="1282" width="11.25" style="5" customWidth="1"/>
    <col min="1283" max="1283" width="12.375" style="5" customWidth="1"/>
    <col min="1284" max="1284" width="10" style="5" customWidth="1"/>
    <col min="1285" max="1285" width="15.625" style="5" customWidth="1"/>
    <col min="1286" max="1286" width="15.125" style="5" customWidth="1"/>
    <col min="1287" max="1287" width="11.125" style="5" customWidth="1"/>
    <col min="1288" max="1536" width="8.875" style="5"/>
    <col min="1537" max="1537" width="7.125" style="5" customWidth="1"/>
    <col min="1538" max="1538" width="11.25" style="5" customWidth="1"/>
    <col min="1539" max="1539" width="12.375" style="5" customWidth="1"/>
    <col min="1540" max="1540" width="10" style="5" customWidth="1"/>
    <col min="1541" max="1541" width="15.625" style="5" customWidth="1"/>
    <col min="1542" max="1542" width="15.125" style="5" customWidth="1"/>
    <col min="1543" max="1543" width="11.125" style="5" customWidth="1"/>
    <col min="1544" max="1792" width="8.875" style="5"/>
    <col min="1793" max="1793" width="7.125" style="5" customWidth="1"/>
    <col min="1794" max="1794" width="11.25" style="5" customWidth="1"/>
    <col min="1795" max="1795" width="12.375" style="5" customWidth="1"/>
    <col min="1796" max="1796" width="10" style="5" customWidth="1"/>
    <col min="1797" max="1797" width="15.625" style="5" customWidth="1"/>
    <col min="1798" max="1798" width="15.125" style="5" customWidth="1"/>
    <col min="1799" max="1799" width="11.125" style="5" customWidth="1"/>
    <col min="1800" max="2048" width="8.875" style="5"/>
    <col min="2049" max="2049" width="7.125" style="5" customWidth="1"/>
    <col min="2050" max="2050" width="11.25" style="5" customWidth="1"/>
    <col min="2051" max="2051" width="12.375" style="5" customWidth="1"/>
    <col min="2052" max="2052" width="10" style="5" customWidth="1"/>
    <col min="2053" max="2053" width="15.625" style="5" customWidth="1"/>
    <col min="2054" max="2054" width="15.125" style="5" customWidth="1"/>
    <col min="2055" max="2055" width="11.125" style="5" customWidth="1"/>
    <col min="2056" max="2304" width="8.875" style="5"/>
    <col min="2305" max="2305" width="7.125" style="5" customWidth="1"/>
    <col min="2306" max="2306" width="11.25" style="5" customWidth="1"/>
    <col min="2307" max="2307" width="12.375" style="5" customWidth="1"/>
    <col min="2308" max="2308" width="10" style="5" customWidth="1"/>
    <col min="2309" max="2309" width="15.625" style="5" customWidth="1"/>
    <col min="2310" max="2310" width="15.125" style="5" customWidth="1"/>
    <col min="2311" max="2311" width="11.125" style="5" customWidth="1"/>
    <col min="2312" max="2560" width="8.875" style="5"/>
    <col min="2561" max="2561" width="7.125" style="5" customWidth="1"/>
    <col min="2562" max="2562" width="11.25" style="5" customWidth="1"/>
    <col min="2563" max="2563" width="12.375" style="5" customWidth="1"/>
    <col min="2564" max="2564" width="10" style="5" customWidth="1"/>
    <col min="2565" max="2565" width="15.625" style="5" customWidth="1"/>
    <col min="2566" max="2566" width="15.125" style="5" customWidth="1"/>
    <col min="2567" max="2567" width="11.125" style="5" customWidth="1"/>
    <col min="2568" max="2816" width="8.875" style="5"/>
    <col min="2817" max="2817" width="7.125" style="5" customWidth="1"/>
    <col min="2818" max="2818" width="11.25" style="5" customWidth="1"/>
    <col min="2819" max="2819" width="12.375" style="5" customWidth="1"/>
    <col min="2820" max="2820" width="10" style="5" customWidth="1"/>
    <col min="2821" max="2821" width="15.625" style="5" customWidth="1"/>
    <col min="2822" max="2822" width="15.125" style="5" customWidth="1"/>
    <col min="2823" max="2823" width="11.125" style="5" customWidth="1"/>
    <col min="2824" max="3072" width="8.875" style="5"/>
    <col min="3073" max="3073" width="7.125" style="5" customWidth="1"/>
    <col min="3074" max="3074" width="11.25" style="5" customWidth="1"/>
    <col min="3075" max="3075" width="12.375" style="5" customWidth="1"/>
    <col min="3076" max="3076" width="10" style="5" customWidth="1"/>
    <col min="3077" max="3077" width="15.625" style="5" customWidth="1"/>
    <col min="3078" max="3078" width="15.125" style="5" customWidth="1"/>
    <col min="3079" max="3079" width="11.125" style="5" customWidth="1"/>
    <col min="3080" max="3328" width="8.875" style="5"/>
    <col min="3329" max="3329" width="7.125" style="5" customWidth="1"/>
    <col min="3330" max="3330" width="11.25" style="5" customWidth="1"/>
    <col min="3331" max="3331" width="12.375" style="5" customWidth="1"/>
    <col min="3332" max="3332" width="10" style="5" customWidth="1"/>
    <col min="3333" max="3333" width="15.625" style="5" customWidth="1"/>
    <col min="3334" max="3334" width="15.125" style="5" customWidth="1"/>
    <col min="3335" max="3335" width="11.125" style="5" customWidth="1"/>
    <col min="3336" max="3584" width="8.875" style="5"/>
    <col min="3585" max="3585" width="7.125" style="5" customWidth="1"/>
    <col min="3586" max="3586" width="11.25" style="5" customWidth="1"/>
    <col min="3587" max="3587" width="12.375" style="5" customWidth="1"/>
    <col min="3588" max="3588" width="10" style="5" customWidth="1"/>
    <col min="3589" max="3589" width="15.625" style="5" customWidth="1"/>
    <col min="3590" max="3590" width="15.125" style="5" customWidth="1"/>
    <col min="3591" max="3591" width="11.125" style="5" customWidth="1"/>
    <col min="3592" max="3840" width="8.875" style="5"/>
    <col min="3841" max="3841" width="7.125" style="5" customWidth="1"/>
    <col min="3842" max="3842" width="11.25" style="5" customWidth="1"/>
    <col min="3843" max="3843" width="12.375" style="5" customWidth="1"/>
    <col min="3844" max="3844" width="10" style="5" customWidth="1"/>
    <col min="3845" max="3845" width="15.625" style="5" customWidth="1"/>
    <col min="3846" max="3846" width="15.125" style="5" customWidth="1"/>
    <col min="3847" max="3847" width="11.125" style="5" customWidth="1"/>
    <col min="3848" max="4096" width="8.875" style="5"/>
    <col min="4097" max="4097" width="7.125" style="5" customWidth="1"/>
    <col min="4098" max="4098" width="11.25" style="5" customWidth="1"/>
    <col min="4099" max="4099" width="12.375" style="5" customWidth="1"/>
    <col min="4100" max="4100" width="10" style="5" customWidth="1"/>
    <col min="4101" max="4101" width="15.625" style="5" customWidth="1"/>
    <col min="4102" max="4102" width="15.125" style="5" customWidth="1"/>
    <col min="4103" max="4103" width="11.125" style="5" customWidth="1"/>
    <col min="4104" max="4352" width="8.875" style="5"/>
    <col min="4353" max="4353" width="7.125" style="5" customWidth="1"/>
    <col min="4354" max="4354" width="11.25" style="5" customWidth="1"/>
    <col min="4355" max="4355" width="12.375" style="5" customWidth="1"/>
    <col min="4356" max="4356" width="10" style="5" customWidth="1"/>
    <col min="4357" max="4357" width="15.625" style="5" customWidth="1"/>
    <col min="4358" max="4358" width="15.125" style="5" customWidth="1"/>
    <col min="4359" max="4359" width="11.125" style="5" customWidth="1"/>
    <col min="4360" max="4608" width="8.875" style="5"/>
    <col min="4609" max="4609" width="7.125" style="5" customWidth="1"/>
    <col min="4610" max="4610" width="11.25" style="5" customWidth="1"/>
    <col min="4611" max="4611" width="12.375" style="5" customWidth="1"/>
    <col min="4612" max="4612" width="10" style="5" customWidth="1"/>
    <col min="4613" max="4613" width="15.625" style="5" customWidth="1"/>
    <col min="4614" max="4614" width="15.125" style="5" customWidth="1"/>
    <col min="4615" max="4615" width="11.125" style="5" customWidth="1"/>
    <col min="4616" max="4864" width="8.875" style="5"/>
    <col min="4865" max="4865" width="7.125" style="5" customWidth="1"/>
    <col min="4866" max="4866" width="11.25" style="5" customWidth="1"/>
    <col min="4867" max="4867" width="12.375" style="5" customWidth="1"/>
    <col min="4868" max="4868" width="10" style="5" customWidth="1"/>
    <col min="4869" max="4869" width="15.625" style="5" customWidth="1"/>
    <col min="4870" max="4870" width="15.125" style="5" customWidth="1"/>
    <col min="4871" max="4871" width="11.125" style="5" customWidth="1"/>
    <col min="4872" max="5120" width="8.875" style="5"/>
    <col min="5121" max="5121" width="7.125" style="5" customWidth="1"/>
    <col min="5122" max="5122" width="11.25" style="5" customWidth="1"/>
    <col min="5123" max="5123" width="12.375" style="5" customWidth="1"/>
    <col min="5124" max="5124" width="10" style="5" customWidth="1"/>
    <col min="5125" max="5125" width="15.625" style="5" customWidth="1"/>
    <col min="5126" max="5126" width="15.125" style="5" customWidth="1"/>
    <col min="5127" max="5127" width="11.125" style="5" customWidth="1"/>
    <col min="5128" max="5376" width="8.875" style="5"/>
    <col min="5377" max="5377" width="7.125" style="5" customWidth="1"/>
    <col min="5378" max="5378" width="11.25" style="5" customWidth="1"/>
    <col min="5379" max="5379" width="12.375" style="5" customWidth="1"/>
    <col min="5380" max="5380" width="10" style="5" customWidth="1"/>
    <col min="5381" max="5381" width="15.625" style="5" customWidth="1"/>
    <col min="5382" max="5382" width="15.125" style="5" customWidth="1"/>
    <col min="5383" max="5383" width="11.125" style="5" customWidth="1"/>
    <col min="5384" max="5632" width="8.875" style="5"/>
    <col min="5633" max="5633" width="7.125" style="5" customWidth="1"/>
    <col min="5634" max="5634" width="11.25" style="5" customWidth="1"/>
    <col min="5635" max="5635" width="12.375" style="5" customWidth="1"/>
    <col min="5636" max="5636" width="10" style="5" customWidth="1"/>
    <col min="5637" max="5637" width="15.625" style="5" customWidth="1"/>
    <col min="5638" max="5638" width="15.125" style="5" customWidth="1"/>
    <col min="5639" max="5639" width="11.125" style="5" customWidth="1"/>
    <col min="5640" max="5888" width="8.875" style="5"/>
    <col min="5889" max="5889" width="7.125" style="5" customWidth="1"/>
    <col min="5890" max="5890" width="11.25" style="5" customWidth="1"/>
    <col min="5891" max="5891" width="12.375" style="5" customWidth="1"/>
    <col min="5892" max="5892" width="10" style="5" customWidth="1"/>
    <col min="5893" max="5893" width="15.625" style="5" customWidth="1"/>
    <col min="5894" max="5894" width="15.125" style="5" customWidth="1"/>
    <col min="5895" max="5895" width="11.125" style="5" customWidth="1"/>
    <col min="5896" max="6144" width="8.875" style="5"/>
    <col min="6145" max="6145" width="7.125" style="5" customWidth="1"/>
    <col min="6146" max="6146" width="11.25" style="5" customWidth="1"/>
    <col min="6147" max="6147" width="12.375" style="5" customWidth="1"/>
    <col min="6148" max="6148" width="10" style="5" customWidth="1"/>
    <col min="6149" max="6149" width="15.625" style="5" customWidth="1"/>
    <col min="6150" max="6150" width="15.125" style="5" customWidth="1"/>
    <col min="6151" max="6151" width="11.125" style="5" customWidth="1"/>
    <col min="6152" max="6400" width="8.875" style="5"/>
    <col min="6401" max="6401" width="7.125" style="5" customWidth="1"/>
    <col min="6402" max="6402" width="11.25" style="5" customWidth="1"/>
    <col min="6403" max="6403" width="12.375" style="5" customWidth="1"/>
    <col min="6404" max="6404" width="10" style="5" customWidth="1"/>
    <col min="6405" max="6405" width="15.625" style="5" customWidth="1"/>
    <col min="6406" max="6406" width="15.125" style="5" customWidth="1"/>
    <col min="6407" max="6407" width="11.125" style="5" customWidth="1"/>
    <col min="6408" max="6656" width="8.875" style="5"/>
    <col min="6657" max="6657" width="7.125" style="5" customWidth="1"/>
    <col min="6658" max="6658" width="11.25" style="5" customWidth="1"/>
    <col min="6659" max="6659" width="12.375" style="5" customWidth="1"/>
    <col min="6660" max="6660" width="10" style="5" customWidth="1"/>
    <col min="6661" max="6661" width="15.625" style="5" customWidth="1"/>
    <col min="6662" max="6662" width="15.125" style="5" customWidth="1"/>
    <col min="6663" max="6663" width="11.125" style="5" customWidth="1"/>
    <col min="6664" max="6912" width="8.875" style="5"/>
    <col min="6913" max="6913" width="7.125" style="5" customWidth="1"/>
    <col min="6914" max="6914" width="11.25" style="5" customWidth="1"/>
    <col min="6915" max="6915" width="12.375" style="5" customWidth="1"/>
    <col min="6916" max="6916" width="10" style="5" customWidth="1"/>
    <col min="6917" max="6917" width="15.625" style="5" customWidth="1"/>
    <col min="6918" max="6918" width="15.125" style="5" customWidth="1"/>
    <col min="6919" max="6919" width="11.125" style="5" customWidth="1"/>
    <col min="6920" max="7168" width="8.875" style="5"/>
    <col min="7169" max="7169" width="7.125" style="5" customWidth="1"/>
    <col min="7170" max="7170" width="11.25" style="5" customWidth="1"/>
    <col min="7171" max="7171" width="12.375" style="5" customWidth="1"/>
    <col min="7172" max="7172" width="10" style="5" customWidth="1"/>
    <col min="7173" max="7173" width="15.625" style="5" customWidth="1"/>
    <col min="7174" max="7174" width="15.125" style="5" customWidth="1"/>
    <col min="7175" max="7175" width="11.125" style="5" customWidth="1"/>
    <col min="7176" max="7424" width="8.875" style="5"/>
    <col min="7425" max="7425" width="7.125" style="5" customWidth="1"/>
    <col min="7426" max="7426" width="11.25" style="5" customWidth="1"/>
    <col min="7427" max="7427" width="12.375" style="5" customWidth="1"/>
    <col min="7428" max="7428" width="10" style="5" customWidth="1"/>
    <col min="7429" max="7429" width="15.625" style="5" customWidth="1"/>
    <col min="7430" max="7430" width="15.125" style="5" customWidth="1"/>
    <col min="7431" max="7431" width="11.125" style="5" customWidth="1"/>
    <col min="7432" max="7680" width="8.875" style="5"/>
    <col min="7681" max="7681" width="7.125" style="5" customWidth="1"/>
    <col min="7682" max="7682" width="11.25" style="5" customWidth="1"/>
    <col min="7683" max="7683" width="12.375" style="5" customWidth="1"/>
    <col min="7684" max="7684" width="10" style="5" customWidth="1"/>
    <col min="7685" max="7685" width="15.625" style="5" customWidth="1"/>
    <col min="7686" max="7686" width="15.125" style="5" customWidth="1"/>
    <col min="7687" max="7687" width="11.125" style="5" customWidth="1"/>
    <col min="7688" max="7936" width="8.875" style="5"/>
    <col min="7937" max="7937" width="7.125" style="5" customWidth="1"/>
    <col min="7938" max="7938" width="11.25" style="5" customWidth="1"/>
    <col min="7939" max="7939" width="12.375" style="5" customWidth="1"/>
    <col min="7940" max="7940" width="10" style="5" customWidth="1"/>
    <col min="7941" max="7941" width="15.625" style="5" customWidth="1"/>
    <col min="7942" max="7942" width="15.125" style="5" customWidth="1"/>
    <col min="7943" max="7943" width="11.125" style="5" customWidth="1"/>
    <col min="7944" max="8192" width="8.875" style="5"/>
    <col min="8193" max="8193" width="7.125" style="5" customWidth="1"/>
    <col min="8194" max="8194" width="11.25" style="5" customWidth="1"/>
    <col min="8195" max="8195" width="12.375" style="5" customWidth="1"/>
    <col min="8196" max="8196" width="10" style="5" customWidth="1"/>
    <col min="8197" max="8197" width="15.625" style="5" customWidth="1"/>
    <col min="8198" max="8198" width="15.125" style="5" customWidth="1"/>
    <col min="8199" max="8199" width="11.125" style="5" customWidth="1"/>
    <col min="8200" max="8448" width="8.875" style="5"/>
    <col min="8449" max="8449" width="7.125" style="5" customWidth="1"/>
    <col min="8450" max="8450" width="11.25" style="5" customWidth="1"/>
    <col min="8451" max="8451" width="12.375" style="5" customWidth="1"/>
    <col min="8452" max="8452" width="10" style="5" customWidth="1"/>
    <col min="8453" max="8453" width="15.625" style="5" customWidth="1"/>
    <col min="8454" max="8454" width="15.125" style="5" customWidth="1"/>
    <col min="8455" max="8455" width="11.125" style="5" customWidth="1"/>
    <col min="8456" max="8704" width="8.875" style="5"/>
    <col min="8705" max="8705" width="7.125" style="5" customWidth="1"/>
    <col min="8706" max="8706" width="11.25" style="5" customWidth="1"/>
    <col min="8707" max="8707" width="12.375" style="5" customWidth="1"/>
    <col min="8708" max="8708" width="10" style="5" customWidth="1"/>
    <col min="8709" max="8709" width="15.625" style="5" customWidth="1"/>
    <col min="8710" max="8710" width="15.125" style="5" customWidth="1"/>
    <col min="8711" max="8711" width="11.125" style="5" customWidth="1"/>
    <col min="8712" max="8960" width="8.875" style="5"/>
    <col min="8961" max="8961" width="7.125" style="5" customWidth="1"/>
    <col min="8962" max="8962" width="11.25" style="5" customWidth="1"/>
    <col min="8963" max="8963" width="12.375" style="5" customWidth="1"/>
    <col min="8964" max="8964" width="10" style="5" customWidth="1"/>
    <col min="8965" max="8965" width="15.625" style="5" customWidth="1"/>
    <col min="8966" max="8966" width="15.125" style="5" customWidth="1"/>
    <col min="8967" max="8967" width="11.125" style="5" customWidth="1"/>
    <col min="8968" max="9216" width="8.875" style="5"/>
    <col min="9217" max="9217" width="7.125" style="5" customWidth="1"/>
    <col min="9218" max="9218" width="11.25" style="5" customWidth="1"/>
    <col min="9219" max="9219" width="12.375" style="5" customWidth="1"/>
    <col min="9220" max="9220" width="10" style="5" customWidth="1"/>
    <col min="9221" max="9221" width="15.625" style="5" customWidth="1"/>
    <col min="9222" max="9222" width="15.125" style="5" customWidth="1"/>
    <col min="9223" max="9223" width="11.125" style="5" customWidth="1"/>
    <col min="9224" max="9472" width="8.875" style="5"/>
    <col min="9473" max="9473" width="7.125" style="5" customWidth="1"/>
    <col min="9474" max="9474" width="11.25" style="5" customWidth="1"/>
    <col min="9475" max="9475" width="12.375" style="5" customWidth="1"/>
    <col min="9476" max="9476" width="10" style="5" customWidth="1"/>
    <col min="9477" max="9477" width="15.625" style="5" customWidth="1"/>
    <col min="9478" max="9478" width="15.125" style="5" customWidth="1"/>
    <col min="9479" max="9479" width="11.125" style="5" customWidth="1"/>
    <col min="9480" max="9728" width="8.875" style="5"/>
    <col min="9729" max="9729" width="7.125" style="5" customWidth="1"/>
    <col min="9730" max="9730" width="11.25" style="5" customWidth="1"/>
    <col min="9731" max="9731" width="12.375" style="5" customWidth="1"/>
    <col min="9732" max="9732" width="10" style="5" customWidth="1"/>
    <col min="9733" max="9733" width="15.625" style="5" customWidth="1"/>
    <col min="9734" max="9734" width="15.125" style="5" customWidth="1"/>
    <col min="9735" max="9735" width="11.125" style="5" customWidth="1"/>
    <col min="9736" max="9984" width="8.875" style="5"/>
    <col min="9985" max="9985" width="7.125" style="5" customWidth="1"/>
    <col min="9986" max="9986" width="11.25" style="5" customWidth="1"/>
    <col min="9987" max="9987" width="12.375" style="5" customWidth="1"/>
    <col min="9988" max="9988" width="10" style="5" customWidth="1"/>
    <col min="9989" max="9989" width="15.625" style="5" customWidth="1"/>
    <col min="9990" max="9990" width="15.125" style="5" customWidth="1"/>
    <col min="9991" max="9991" width="11.125" style="5" customWidth="1"/>
    <col min="9992" max="10240" width="8.875" style="5"/>
    <col min="10241" max="10241" width="7.125" style="5" customWidth="1"/>
    <col min="10242" max="10242" width="11.25" style="5" customWidth="1"/>
    <col min="10243" max="10243" width="12.375" style="5" customWidth="1"/>
    <col min="10244" max="10244" width="10" style="5" customWidth="1"/>
    <col min="10245" max="10245" width="15.625" style="5" customWidth="1"/>
    <col min="10246" max="10246" width="15.125" style="5" customWidth="1"/>
    <col min="10247" max="10247" width="11.125" style="5" customWidth="1"/>
    <col min="10248" max="10496" width="8.875" style="5"/>
    <col min="10497" max="10497" width="7.125" style="5" customWidth="1"/>
    <col min="10498" max="10498" width="11.25" style="5" customWidth="1"/>
    <col min="10499" max="10499" width="12.375" style="5" customWidth="1"/>
    <col min="10500" max="10500" width="10" style="5" customWidth="1"/>
    <col min="10501" max="10501" width="15.625" style="5" customWidth="1"/>
    <col min="10502" max="10502" width="15.125" style="5" customWidth="1"/>
    <col min="10503" max="10503" width="11.125" style="5" customWidth="1"/>
    <col min="10504" max="10752" width="8.875" style="5"/>
    <col min="10753" max="10753" width="7.125" style="5" customWidth="1"/>
    <col min="10754" max="10754" width="11.25" style="5" customWidth="1"/>
    <col min="10755" max="10755" width="12.375" style="5" customWidth="1"/>
    <col min="10756" max="10756" width="10" style="5" customWidth="1"/>
    <col min="10757" max="10757" width="15.625" style="5" customWidth="1"/>
    <col min="10758" max="10758" width="15.125" style="5" customWidth="1"/>
    <col min="10759" max="10759" width="11.125" style="5" customWidth="1"/>
    <col min="10760" max="11008" width="8.875" style="5"/>
    <col min="11009" max="11009" width="7.125" style="5" customWidth="1"/>
    <col min="11010" max="11010" width="11.25" style="5" customWidth="1"/>
    <col min="11011" max="11011" width="12.375" style="5" customWidth="1"/>
    <col min="11012" max="11012" width="10" style="5" customWidth="1"/>
    <col min="11013" max="11013" width="15.625" style="5" customWidth="1"/>
    <col min="11014" max="11014" width="15.125" style="5" customWidth="1"/>
    <col min="11015" max="11015" width="11.125" style="5" customWidth="1"/>
    <col min="11016" max="11264" width="8.875" style="5"/>
    <col min="11265" max="11265" width="7.125" style="5" customWidth="1"/>
    <col min="11266" max="11266" width="11.25" style="5" customWidth="1"/>
    <col min="11267" max="11267" width="12.375" style="5" customWidth="1"/>
    <col min="11268" max="11268" width="10" style="5" customWidth="1"/>
    <col min="11269" max="11269" width="15.625" style="5" customWidth="1"/>
    <col min="11270" max="11270" width="15.125" style="5" customWidth="1"/>
    <col min="11271" max="11271" width="11.125" style="5" customWidth="1"/>
    <col min="11272" max="11520" width="8.875" style="5"/>
    <col min="11521" max="11521" width="7.125" style="5" customWidth="1"/>
    <col min="11522" max="11522" width="11.25" style="5" customWidth="1"/>
    <col min="11523" max="11523" width="12.375" style="5" customWidth="1"/>
    <col min="11524" max="11524" width="10" style="5" customWidth="1"/>
    <col min="11525" max="11525" width="15.625" style="5" customWidth="1"/>
    <col min="11526" max="11526" width="15.125" style="5" customWidth="1"/>
    <col min="11527" max="11527" width="11.125" style="5" customWidth="1"/>
    <col min="11528" max="11776" width="8.875" style="5"/>
    <col min="11777" max="11777" width="7.125" style="5" customWidth="1"/>
    <col min="11778" max="11778" width="11.25" style="5" customWidth="1"/>
    <col min="11779" max="11779" width="12.375" style="5" customWidth="1"/>
    <col min="11780" max="11780" width="10" style="5" customWidth="1"/>
    <col min="11781" max="11781" width="15.625" style="5" customWidth="1"/>
    <col min="11782" max="11782" width="15.125" style="5" customWidth="1"/>
    <col min="11783" max="11783" width="11.125" style="5" customWidth="1"/>
    <col min="11784" max="12032" width="8.875" style="5"/>
    <col min="12033" max="12033" width="7.125" style="5" customWidth="1"/>
    <col min="12034" max="12034" width="11.25" style="5" customWidth="1"/>
    <col min="12035" max="12035" width="12.375" style="5" customWidth="1"/>
    <col min="12036" max="12036" width="10" style="5" customWidth="1"/>
    <col min="12037" max="12037" width="15.625" style="5" customWidth="1"/>
    <col min="12038" max="12038" width="15.125" style="5" customWidth="1"/>
    <col min="12039" max="12039" width="11.125" style="5" customWidth="1"/>
    <col min="12040" max="12288" width="8.875" style="5"/>
    <col min="12289" max="12289" width="7.125" style="5" customWidth="1"/>
    <col min="12290" max="12290" width="11.25" style="5" customWidth="1"/>
    <col min="12291" max="12291" width="12.375" style="5" customWidth="1"/>
    <col min="12292" max="12292" width="10" style="5" customWidth="1"/>
    <col min="12293" max="12293" width="15.625" style="5" customWidth="1"/>
    <col min="12294" max="12294" width="15.125" style="5" customWidth="1"/>
    <col min="12295" max="12295" width="11.125" style="5" customWidth="1"/>
    <col min="12296" max="12544" width="8.875" style="5"/>
    <col min="12545" max="12545" width="7.125" style="5" customWidth="1"/>
    <col min="12546" max="12546" width="11.25" style="5" customWidth="1"/>
    <col min="12547" max="12547" width="12.375" style="5" customWidth="1"/>
    <col min="12548" max="12548" width="10" style="5" customWidth="1"/>
    <col min="12549" max="12549" width="15.625" style="5" customWidth="1"/>
    <col min="12550" max="12550" width="15.125" style="5" customWidth="1"/>
    <col min="12551" max="12551" width="11.125" style="5" customWidth="1"/>
    <col min="12552" max="12800" width="8.875" style="5"/>
    <col min="12801" max="12801" width="7.125" style="5" customWidth="1"/>
    <col min="12802" max="12802" width="11.25" style="5" customWidth="1"/>
    <col min="12803" max="12803" width="12.375" style="5" customWidth="1"/>
    <col min="12804" max="12804" width="10" style="5" customWidth="1"/>
    <col min="12805" max="12805" width="15.625" style="5" customWidth="1"/>
    <col min="12806" max="12806" width="15.125" style="5" customWidth="1"/>
    <col min="12807" max="12807" width="11.125" style="5" customWidth="1"/>
    <col min="12808" max="13056" width="8.875" style="5"/>
    <col min="13057" max="13057" width="7.125" style="5" customWidth="1"/>
    <col min="13058" max="13058" width="11.25" style="5" customWidth="1"/>
    <col min="13059" max="13059" width="12.375" style="5" customWidth="1"/>
    <col min="13060" max="13060" width="10" style="5" customWidth="1"/>
    <col min="13061" max="13061" width="15.625" style="5" customWidth="1"/>
    <col min="13062" max="13062" width="15.125" style="5" customWidth="1"/>
    <col min="13063" max="13063" width="11.125" style="5" customWidth="1"/>
    <col min="13064" max="13312" width="8.875" style="5"/>
    <col min="13313" max="13313" width="7.125" style="5" customWidth="1"/>
    <col min="13314" max="13314" width="11.25" style="5" customWidth="1"/>
    <col min="13315" max="13315" width="12.375" style="5" customWidth="1"/>
    <col min="13316" max="13316" width="10" style="5" customWidth="1"/>
    <col min="13317" max="13317" width="15.625" style="5" customWidth="1"/>
    <col min="13318" max="13318" width="15.125" style="5" customWidth="1"/>
    <col min="13319" max="13319" width="11.125" style="5" customWidth="1"/>
    <col min="13320" max="13568" width="8.875" style="5"/>
    <col min="13569" max="13569" width="7.125" style="5" customWidth="1"/>
    <col min="13570" max="13570" width="11.25" style="5" customWidth="1"/>
    <col min="13571" max="13571" width="12.375" style="5" customWidth="1"/>
    <col min="13572" max="13572" width="10" style="5" customWidth="1"/>
    <col min="13573" max="13573" width="15.625" style="5" customWidth="1"/>
    <col min="13574" max="13574" width="15.125" style="5" customWidth="1"/>
    <col min="13575" max="13575" width="11.125" style="5" customWidth="1"/>
    <col min="13576" max="13824" width="8.875" style="5"/>
    <col min="13825" max="13825" width="7.125" style="5" customWidth="1"/>
    <col min="13826" max="13826" width="11.25" style="5" customWidth="1"/>
    <col min="13827" max="13827" width="12.375" style="5" customWidth="1"/>
    <col min="13828" max="13828" width="10" style="5" customWidth="1"/>
    <col min="13829" max="13829" width="15.625" style="5" customWidth="1"/>
    <col min="13830" max="13830" width="15.125" style="5" customWidth="1"/>
    <col min="13831" max="13831" width="11.125" style="5" customWidth="1"/>
    <col min="13832" max="14080" width="8.875" style="5"/>
    <col min="14081" max="14081" width="7.125" style="5" customWidth="1"/>
    <col min="14082" max="14082" width="11.25" style="5" customWidth="1"/>
    <col min="14083" max="14083" width="12.375" style="5" customWidth="1"/>
    <col min="14084" max="14084" width="10" style="5" customWidth="1"/>
    <col min="14085" max="14085" width="15.625" style="5" customWidth="1"/>
    <col min="14086" max="14086" width="15.125" style="5" customWidth="1"/>
    <col min="14087" max="14087" width="11.125" style="5" customWidth="1"/>
    <col min="14088" max="14336" width="8.875" style="5"/>
    <col min="14337" max="14337" width="7.125" style="5" customWidth="1"/>
    <col min="14338" max="14338" width="11.25" style="5" customWidth="1"/>
    <col min="14339" max="14339" width="12.375" style="5" customWidth="1"/>
    <col min="14340" max="14340" width="10" style="5" customWidth="1"/>
    <col min="14341" max="14341" width="15.625" style="5" customWidth="1"/>
    <col min="14342" max="14342" width="15.125" style="5" customWidth="1"/>
    <col min="14343" max="14343" width="11.125" style="5" customWidth="1"/>
    <col min="14344" max="14592" width="8.875" style="5"/>
    <col min="14593" max="14593" width="7.125" style="5" customWidth="1"/>
    <col min="14594" max="14594" width="11.25" style="5" customWidth="1"/>
    <col min="14595" max="14595" width="12.375" style="5" customWidth="1"/>
    <col min="14596" max="14596" width="10" style="5" customWidth="1"/>
    <col min="14597" max="14597" width="15.625" style="5" customWidth="1"/>
    <col min="14598" max="14598" width="15.125" style="5" customWidth="1"/>
    <col min="14599" max="14599" width="11.125" style="5" customWidth="1"/>
    <col min="14600" max="14848" width="8.875" style="5"/>
    <col min="14849" max="14849" width="7.125" style="5" customWidth="1"/>
    <col min="14850" max="14850" width="11.25" style="5" customWidth="1"/>
    <col min="14851" max="14851" width="12.375" style="5" customWidth="1"/>
    <col min="14852" max="14852" width="10" style="5" customWidth="1"/>
    <col min="14853" max="14853" width="15.625" style="5" customWidth="1"/>
    <col min="14854" max="14854" width="15.125" style="5" customWidth="1"/>
    <col min="14855" max="14855" width="11.125" style="5" customWidth="1"/>
    <col min="14856" max="15104" width="8.875" style="5"/>
    <col min="15105" max="15105" width="7.125" style="5" customWidth="1"/>
    <col min="15106" max="15106" width="11.25" style="5" customWidth="1"/>
    <col min="15107" max="15107" width="12.375" style="5" customWidth="1"/>
    <col min="15108" max="15108" width="10" style="5" customWidth="1"/>
    <col min="15109" max="15109" width="15.625" style="5" customWidth="1"/>
    <col min="15110" max="15110" width="15.125" style="5" customWidth="1"/>
    <col min="15111" max="15111" width="11.125" style="5" customWidth="1"/>
    <col min="15112" max="15360" width="8.875" style="5"/>
    <col min="15361" max="15361" width="7.125" style="5" customWidth="1"/>
    <col min="15362" max="15362" width="11.25" style="5" customWidth="1"/>
    <col min="15363" max="15363" width="12.375" style="5" customWidth="1"/>
    <col min="15364" max="15364" width="10" style="5" customWidth="1"/>
    <col min="15365" max="15365" width="15.625" style="5" customWidth="1"/>
    <col min="15366" max="15366" width="15.125" style="5" customWidth="1"/>
    <col min="15367" max="15367" width="11.125" style="5" customWidth="1"/>
    <col min="15368" max="15616" width="8.875" style="5"/>
    <col min="15617" max="15617" width="7.125" style="5" customWidth="1"/>
    <col min="15618" max="15618" width="11.25" style="5" customWidth="1"/>
    <col min="15619" max="15619" width="12.375" style="5" customWidth="1"/>
    <col min="15620" max="15620" width="10" style="5" customWidth="1"/>
    <col min="15621" max="15621" width="15.625" style="5" customWidth="1"/>
    <col min="15622" max="15622" width="15.125" style="5" customWidth="1"/>
    <col min="15623" max="15623" width="11.125" style="5" customWidth="1"/>
    <col min="15624" max="15872" width="8.875" style="5"/>
    <col min="15873" max="15873" width="7.125" style="5" customWidth="1"/>
    <col min="15874" max="15874" width="11.25" style="5" customWidth="1"/>
    <col min="15875" max="15875" width="12.375" style="5" customWidth="1"/>
    <col min="15876" max="15876" width="10" style="5" customWidth="1"/>
    <col min="15877" max="15877" width="15.625" style="5" customWidth="1"/>
    <col min="15878" max="15878" width="15.125" style="5" customWidth="1"/>
    <col min="15879" max="15879" width="11.125" style="5" customWidth="1"/>
    <col min="15880" max="16128" width="8.875" style="5"/>
    <col min="16129" max="16129" width="7.125" style="5" customWidth="1"/>
    <col min="16130" max="16130" width="11.25" style="5" customWidth="1"/>
    <col min="16131" max="16131" width="12.375" style="5" customWidth="1"/>
    <col min="16132" max="16132" width="10" style="5" customWidth="1"/>
    <col min="16133" max="16133" width="15.625" style="5" customWidth="1"/>
    <col min="16134" max="16134" width="15.125" style="5" customWidth="1"/>
    <col min="16135" max="16135" width="11.125" style="5" customWidth="1"/>
    <col min="16136" max="16384" width="8.875" style="5"/>
  </cols>
  <sheetData>
    <row r="1" spans="1:7" ht="19.5">
      <c r="A1" s="497" t="s">
        <v>482</v>
      </c>
      <c r="B1" s="129"/>
      <c r="C1" s="130"/>
      <c r="D1" s="131"/>
      <c r="E1" s="129"/>
      <c r="F1" s="130"/>
      <c r="G1" s="131"/>
    </row>
    <row r="3" spans="1:7" s="122" customFormat="1">
      <c r="A3" s="132" t="s">
        <v>413</v>
      </c>
      <c r="B3" s="133"/>
      <c r="C3" s="134"/>
      <c r="D3" s="135"/>
      <c r="E3" s="133"/>
      <c r="F3" s="136"/>
      <c r="G3" s="137"/>
    </row>
    <row r="4" spans="1:7">
      <c r="A4" s="138" t="s">
        <v>457</v>
      </c>
      <c r="B4" s="68"/>
      <c r="C4" s="139"/>
      <c r="D4" s="140"/>
      <c r="E4" s="68"/>
      <c r="F4" s="141"/>
      <c r="G4" s="142"/>
    </row>
    <row r="5" spans="1:7">
      <c r="A5" s="554" t="s">
        <v>52</v>
      </c>
      <c r="B5" s="143" t="s">
        <v>53</v>
      </c>
      <c r="C5" s="144"/>
      <c r="D5" s="145"/>
      <c r="E5" s="146" t="s">
        <v>54</v>
      </c>
      <c r="F5" s="144"/>
      <c r="G5" s="145"/>
    </row>
    <row r="6" spans="1:7">
      <c r="A6" s="555"/>
      <c r="B6" s="30" t="s">
        <v>433</v>
      </c>
      <c r="C6" s="147" t="s">
        <v>434</v>
      </c>
      <c r="D6" s="148" t="s">
        <v>414</v>
      </c>
      <c r="E6" s="30" t="s">
        <v>433</v>
      </c>
      <c r="F6" s="147" t="s">
        <v>434</v>
      </c>
      <c r="G6" s="148" t="s">
        <v>414</v>
      </c>
    </row>
    <row r="7" spans="1:7">
      <c r="A7" s="31">
        <v>1</v>
      </c>
      <c r="B7" s="377">
        <v>162493</v>
      </c>
      <c r="C7" s="383">
        <v>156750</v>
      </c>
      <c r="D7" s="490">
        <f>IFERROR((B7-C7)/C7,0)</f>
        <v>3.6637958532695372E-2</v>
      </c>
      <c r="E7" s="491">
        <v>151997099</v>
      </c>
      <c r="F7" s="383">
        <v>110756298</v>
      </c>
      <c r="G7" s="490">
        <f>IFERROR((E7-F7)/F7,0)</f>
        <v>0.37235626095050595</v>
      </c>
    </row>
    <row r="8" spans="1:7">
      <c r="A8" s="31">
        <v>2</v>
      </c>
      <c r="B8" s="377">
        <v>115013</v>
      </c>
      <c r="C8" s="383">
        <v>182722</v>
      </c>
      <c r="D8" s="490">
        <f>IFERROR((B8-C8)/C8,0)</f>
        <v>-0.37055745887194758</v>
      </c>
      <c r="E8" s="491">
        <v>109496132</v>
      </c>
      <c r="F8" s="383">
        <v>126655157</v>
      </c>
      <c r="G8" s="490">
        <f t="shared" ref="G8:G18" si="0">IFERROR((E8-F8)/F8,0)</f>
        <v>-0.1354782971845355</v>
      </c>
    </row>
    <row r="9" spans="1:7">
      <c r="A9" s="31">
        <v>3</v>
      </c>
      <c r="B9" s="377">
        <v>134607</v>
      </c>
      <c r="C9" s="383">
        <v>181306</v>
      </c>
      <c r="D9" s="490">
        <f t="shared" ref="D9:D18" si="1">IFERROR((B9-C9)/C9,0)</f>
        <v>-0.25757007490099609</v>
      </c>
      <c r="E9" s="491">
        <v>122131450</v>
      </c>
      <c r="F9" s="383">
        <v>132191658</v>
      </c>
      <c r="G9" s="490">
        <f t="shared" si="0"/>
        <v>-7.6103198584588444E-2</v>
      </c>
    </row>
    <row r="10" spans="1:7">
      <c r="A10" s="31">
        <v>4</v>
      </c>
      <c r="B10" s="381">
        <v>133349</v>
      </c>
      <c r="C10" s="380">
        <v>153555</v>
      </c>
      <c r="D10" s="490">
        <f t="shared" si="1"/>
        <v>-0.13158803034743252</v>
      </c>
      <c r="E10" s="491">
        <v>126190344</v>
      </c>
      <c r="F10" s="380">
        <v>112165448</v>
      </c>
      <c r="G10" s="490">
        <f t="shared" si="0"/>
        <v>0.1250375784171967</v>
      </c>
    </row>
    <row r="11" spans="1:7">
      <c r="A11" s="31">
        <v>5</v>
      </c>
      <c r="B11" s="377"/>
      <c r="C11" s="383"/>
      <c r="D11" s="490">
        <f t="shared" si="1"/>
        <v>0</v>
      </c>
      <c r="E11" s="491"/>
      <c r="F11" s="383"/>
      <c r="G11" s="490">
        <f t="shared" si="0"/>
        <v>0</v>
      </c>
    </row>
    <row r="12" spans="1:7">
      <c r="A12" s="31">
        <v>6</v>
      </c>
      <c r="B12" s="377"/>
      <c r="C12" s="383"/>
      <c r="D12" s="490">
        <f t="shared" si="1"/>
        <v>0</v>
      </c>
      <c r="E12" s="491"/>
      <c r="F12" s="383"/>
      <c r="G12" s="490">
        <f t="shared" si="0"/>
        <v>0</v>
      </c>
    </row>
    <row r="13" spans="1:7">
      <c r="A13" s="31">
        <v>7</v>
      </c>
      <c r="B13" s="377"/>
      <c r="C13" s="383"/>
      <c r="D13" s="490">
        <f t="shared" si="1"/>
        <v>0</v>
      </c>
      <c r="E13" s="491"/>
      <c r="F13" s="383"/>
      <c r="G13" s="490">
        <f t="shared" si="0"/>
        <v>0</v>
      </c>
    </row>
    <row r="14" spans="1:7">
      <c r="A14" s="31">
        <v>8</v>
      </c>
      <c r="B14" s="377"/>
      <c r="C14" s="383"/>
      <c r="D14" s="490">
        <f t="shared" si="1"/>
        <v>0</v>
      </c>
      <c r="E14" s="491"/>
      <c r="F14" s="383"/>
      <c r="G14" s="490">
        <f t="shared" si="0"/>
        <v>0</v>
      </c>
    </row>
    <row r="15" spans="1:7">
      <c r="A15" s="31">
        <v>9</v>
      </c>
      <c r="B15" s="27"/>
      <c r="C15" s="90"/>
      <c r="D15" s="490">
        <f t="shared" si="1"/>
        <v>0</v>
      </c>
      <c r="E15" s="491"/>
      <c r="F15" s="90"/>
      <c r="G15" s="490">
        <f t="shared" si="0"/>
        <v>0</v>
      </c>
    </row>
    <row r="16" spans="1:7">
      <c r="A16" s="31">
        <v>10</v>
      </c>
      <c r="B16" s="27"/>
      <c r="C16" s="90"/>
      <c r="D16" s="490">
        <f t="shared" si="1"/>
        <v>0</v>
      </c>
      <c r="E16" s="491"/>
      <c r="F16" s="90"/>
      <c r="G16" s="490">
        <f t="shared" si="0"/>
        <v>0</v>
      </c>
    </row>
    <row r="17" spans="1:7">
      <c r="A17" s="31">
        <v>11</v>
      </c>
      <c r="B17" s="27"/>
      <c r="C17" s="90"/>
      <c r="D17" s="490">
        <f t="shared" si="1"/>
        <v>0</v>
      </c>
      <c r="E17" s="491"/>
      <c r="F17" s="90"/>
      <c r="G17" s="490">
        <f t="shared" si="0"/>
        <v>0</v>
      </c>
    </row>
    <row r="18" spans="1:7">
      <c r="A18" s="31">
        <v>12</v>
      </c>
      <c r="B18" s="27"/>
      <c r="C18" s="90"/>
      <c r="D18" s="490">
        <f t="shared" si="1"/>
        <v>0</v>
      </c>
      <c r="E18" s="491"/>
      <c r="F18" s="90"/>
      <c r="G18" s="490">
        <f t="shared" si="0"/>
        <v>0</v>
      </c>
    </row>
    <row r="19" spans="1:7" s="115" customFormat="1">
      <c r="A19" s="32" t="s">
        <v>51</v>
      </c>
      <c r="B19" s="33">
        <f>SUM(B7:B18)</f>
        <v>545462</v>
      </c>
      <c r="C19" s="90">
        <f>SUM(C7:C18)</f>
        <v>674333</v>
      </c>
      <c r="D19" s="490">
        <f>(B19-C19)/C19</f>
        <v>-0.19110884385014526</v>
      </c>
      <c r="E19" s="33">
        <f>SUM(E7:E18)</f>
        <v>509815025</v>
      </c>
      <c r="F19" s="90">
        <f>SUM(F7:F18)</f>
        <v>481768561</v>
      </c>
      <c r="G19" s="149">
        <f>(E19-F19)/F19</f>
        <v>5.8215637694963664E-2</v>
      </c>
    </row>
    <row r="20" spans="1:7" s="115" customFormat="1">
      <c r="A20" s="38"/>
      <c r="B20" s="39"/>
      <c r="C20" s="492"/>
      <c r="D20" s="150"/>
      <c r="E20" s="39"/>
      <c r="F20" s="492"/>
      <c r="G20" s="150"/>
    </row>
    <row r="21" spans="1:7" ht="19.5">
      <c r="A21" s="1" t="s">
        <v>483</v>
      </c>
      <c r="B21" s="129"/>
      <c r="C21" s="130"/>
      <c r="D21" s="131"/>
      <c r="E21" s="129"/>
      <c r="F21" s="130"/>
      <c r="G21" s="131"/>
    </row>
    <row r="22" spans="1:7">
      <c r="B22" s="97"/>
      <c r="C22" s="151"/>
      <c r="D22" s="152"/>
      <c r="E22" s="97"/>
      <c r="F22" s="151"/>
      <c r="G22" s="152"/>
    </row>
    <row r="23" spans="1:7" s="122" customFormat="1">
      <c r="A23" s="153" t="s">
        <v>153</v>
      </c>
      <c r="B23" s="154"/>
      <c r="C23" s="155"/>
      <c r="D23" s="156"/>
      <c r="E23" s="154"/>
      <c r="F23" s="157"/>
      <c r="G23" s="158"/>
    </row>
    <row r="24" spans="1:7">
      <c r="A24" s="138" t="s">
        <v>458</v>
      </c>
      <c r="B24" s="159"/>
      <c r="C24" s="160"/>
      <c r="D24" s="161"/>
      <c r="E24" s="159"/>
      <c r="F24" s="162"/>
      <c r="G24" s="163"/>
    </row>
    <row r="25" spans="1:7">
      <c r="A25" s="554" t="s">
        <v>52</v>
      </c>
      <c r="B25" s="164" t="s">
        <v>53</v>
      </c>
      <c r="C25" s="165"/>
      <c r="D25" s="166"/>
      <c r="E25" s="167" t="s">
        <v>54</v>
      </c>
      <c r="F25" s="165"/>
      <c r="G25" s="166"/>
    </row>
    <row r="26" spans="1:7">
      <c r="A26" s="555"/>
      <c r="B26" s="30" t="s">
        <v>433</v>
      </c>
      <c r="C26" s="147" t="s">
        <v>434</v>
      </c>
      <c r="D26" s="148" t="s">
        <v>414</v>
      </c>
      <c r="E26" s="30" t="s">
        <v>433</v>
      </c>
      <c r="F26" s="147" t="s">
        <v>434</v>
      </c>
      <c r="G26" s="148" t="s">
        <v>414</v>
      </c>
    </row>
    <row r="27" spans="1:7">
      <c r="A27" s="31">
        <v>1</v>
      </c>
      <c r="B27" s="493">
        <v>1565</v>
      </c>
      <c r="C27" s="383">
        <v>7451</v>
      </c>
      <c r="D27" s="490">
        <f>IFERROR((B27-C27)/C27,0)</f>
        <v>-0.78996107904979196</v>
      </c>
      <c r="E27" s="491">
        <v>764739</v>
      </c>
      <c r="F27" s="383">
        <v>1940085</v>
      </c>
      <c r="G27" s="490">
        <f>IFERROR((E27-F27)/F27,0)</f>
        <v>-0.60582190986477391</v>
      </c>
    </row>
    <row r="28" spans="1:7">
      <c r="A28" s="31">
        <v>2</v>
      </c>
      <c r="B28" s="493">
        <v>1930</v>
      </c>
      <c r="C28" s="383">
        <v>2436</v>
      </c>
      <c r="D28" s="490">
        <f>IFERROR((B28-C28)/C28,0)</f>
        <v>-0.2077175697865353</v>
      </c>
      <c r="E28" s="27">
        <v>1217458</v>
      </c>
      <c r="F28" s="383">
        <v>837495</v>
      </c>
      <c r="G28" s="490">
        <f t="shared" ref="G28:G39" si="2">IFERROR((E28-F28)/F28,0)</f>
        <v>0.45368987277535983</v>
      </c>
    </row>
    <row r="29" spans="1:7">
      <c r="A29" s="31">
        <v>3</v>
      </c>
      <c r="B29" s="493">
        <v>3134</v>
      </c>
      <c r="C29" s="383">
        <v>2801</v>
      </c>
      <c r="D29" s="490">
        <f t="shared" ref="D29:D39" si="3">IFERROR((B29-C29)/C29,0)</f>
        <v>0.11888611210282042</v>
      </c>
      <c r="E29" s="491">
        <v>1286924</v>
      </c>
      <c r="F29" s="383">
        <v>1797048</v>
      </c>
      <c r="G29" s="490">
        <f t="shared" si="2"/>
        <v>-0.28386776535740837</v>
      </c>
    </row>
    <row r="30" spans="1:7">
      <c r="A30" s="31">
        <v>4</v>
      </c>
      <c r="B30" s="493">
        <v>4931</v>
      </c>
      <c r="C30" s="494">
        <v>2583</v>
      </c>
      <c r="D30" s="490">
        <f t="shared" si="3"/>
        <v>0.90902051877661638</v>
      </c>
      <c r="E30" s="382">
        <v>1618535</v>
      </c>
      <c r="F30" s="380">
        <v>1203258</v>
      </c>
      <c r="G30" s="490">
        <f t="shared" si="2"/>
        <v>0.34512714646401688</v>
      </c>
    </row>
    <row r="31" spans="1:7">
      <c r="A31" s="31">
        <v>5</v>
      </c>
      <c r="B31" s="493"/>
      <c r="C31" s="383"/>
      <c r="D31" s="490">
        <f t="shared" si="3"/>
        <v>0</v>
      </c>
      <c r="E31" s="491"/>
      <c r="F31" s="383"/>
      <c r="G31" s="490">
        <f t="shared" si="2"/>
        <v>0</v>
      </c>
    </row>
    <row r="32" spans="1:7">
      <c r="A32" s="31">
        <v>6</v>
      </c>
      <c r="B32" s="493"/>
      <c r="C32" s="383"/>
      <c r="D32" s="490">
        <f t="shared" si="3"/>
        <v>0</v>
      </c>
      <c r="E32" s="491"/>
      <c r="F32" s="383"/>
      <c r="G32" s="490">
        <f t="shared" si="2"/>
        <v>0</v>
      </c>
    </row>
    <row r="33" spans="1:12">
      <c r="A33" s="31">
        <v>7</v>
      </c>
      <c r="B33" s="493"/>
      <c r="C33" s="383"/>
      <c r="D33" s="490">
        <f t="shared" si="3"/>
        <v>0</v>
      </c>
      <c r="E33" s="491"/>
      <c r="F33" s="383"/>
      <c r="G33" s="490">
        <f t="shared" si="2"/>
        <v>0</v>
      </c>
    </row>
    <row r="34" spans="1:12">
      <c r="A34" s="31">
        <v>8</v>
      </c>
      <c r="B34" s="493"/>
      <c r="C34" s="383"/>
      <c r="D34" s="490">
        <f t="shared" si="3"/>
        <v>0</v>
      </c>
      <c r="E34" s="491"/>
      <c r="F34" s="383"/>
      <c r="G34" s="490">
        <f t="shared" si="2"/>
        <v>0</v>
      </c>
    </row>
    <row r="35" spans="1:12">
      <c r="A35" s="31">
        <v>9</v>
      </c>
      <c r="B35" s="495"/>
      <c r="C35" s="90"/>
      <c r="D35" s="490">
        <f t="shared" si="3"/>
        <v>0</v>
      </c>
      <c r="E35" s="27"/>
      <c r="F35" s="90"/>
      <c r="G35" s="490">
        <f t="shared" si="2"/>
        <v>0</v>
      </c>
    </row>
    <row r="36" spans="1:12">
      <c r="A36" s="31">
        <v>10</v>
      </c>
      <c r="B36" s="495"/>
      <c r="C36" s="90"/>
      <c r="D36" s="490">
        <f t="shared" si="3"/>
        <v>0</v>
      </c>
      <c r="E36" s="27"/>
      <c r="F36" s="90"/>
      <c r="G36" s="490">
        <f t="shared" si="2"/>
        <v>0</v>
      </c>
    </row>
    <row r="37" spans="1:12">
      <c r="A37" s="31">
        <v>11</v>
      </c>
      <c r="B37" s="495"/>
      <c r="C37" s="90"/>
      <c r="D37" s="490">
        <f t="shared" si="3"/>
        <v>0</v>
      </c>
      <c r="E37" s="27"/>
      <c r="F37" s="90"/>
      <c r="G37" s="490">
        <f t="shared" si="2"/>
        <v>0</v>
      </c>
      <c r="I37" s="487"/>
      <c r="J37" s="487"/>
      <c r="K37" s="487"/>
      <c r="L37" s="487"/>
    </row>
    <row r="38" spans="1:12">
      <c r="A38" s="31">
        <v>12</v>
      </c>
      <c r="B38" s="33"/>
      <c r="C38" s="90"/>
      <c r="D38" s="490">
        <f t="shared" si="3"/>
        <v>0</v>
      </c>
      <c r="E38" s="33"/>
      <c r="F38" s="90"/>
      <c r="G38" s="490">
        <f t="shared" si="2"/>
        <v>0</v>
      </c>
      <c r="I38" s="487"/>
      <c r="J38" s="487"/>
      <c r="K38" s="487"/>
      <c r="L38" s="487"/>
    </row>
    <row r="39" spans="1:12" s="115" customFormat="1">
      <c r="A39" s="32" t="s">
        <v>51</v>
      </c>
      <c r="B39" s="33">
        <f>SUM(B27:B38)</f>
        <v>11560</v>
      </c>
      <c r="C39" s="90">
        <f>SUM(C27:C38)</f>
        <v>15271</v>
      </c>
      <c r="D39" s="490">
        <f t="shared" si="3"/>
        <v>-0.24300962608866478</v>
      </c>
      <c r="E39" s="33">
        <f>SUM(E27:E38)</f>
        <v>4887656</v>
      </c>
      <c r="F39" s="90">
        <f>SUM(F27:F38)</f>
        <v>5777886</v>
      </c>
      <c r="G39" s="490">
        <f t="shared" si="2"/>
        <v>-0.15407538328032086</v>
      </c>
    </row>
    <row r="40" spans="1:12" s="115" customFormat="1" ht="11.25" customHeight="1">
      <c r="A40" s="38"/>
      <c r="B40" s="39"/>
      <c r="C40" s="492"/>
      <c r="D40" s="150"/>
      <c r="E40" s="39"/>
      <c r="F40" s="492"/>
      <c r="G40" s="168"/>
    </row>
    <row r="41" spans="1:12" s="13" customFormat="1">
      <c r="A41" s="55" t="s">
        <v>415</v>
      </c>
      <c r="C41" s="169"/>
      <c r="D41" s="170"/>
      <c r="F41" s="169"/>
      <c r="G41" s="170"/>
    </row>
  </sheetData>
  <mergeCells count="2">
    <mergeCell ref="A5:A6"/>
    <mergeCell ref="A25:A26"/>
  </mergeCells>
  <phoneticPr fontId="3" type="noConversion"/>
  <conditionalFormatting sqref="B7:C9 B11:C14">
    <cfRule type="cellIs" dxfId="81" priority="11" operator="lessThan">
      <formula>0</formula>
    </cfRule>
  </conditionalFormatting>
  <conditionalFormatting sqref="B27:C29 B30 B31:C34">
    <cfRule type="cellIs" dxfId="80" priority="8" operator="lessThan">
      <formula>0</formula>
    </cfRule>
    <cfRule type="cellIs" dxfId="79" priority="9" operator="lessThan">
      <formula>0</formula>
    </cfRule>
  </conditionalFormatting>
  <conditionalFormatting sqref="E10:E18">
    <cfRule type="cellIs" dxfId="78" priority="1" operator="lessThan">
      <formula>0</formula>
    </cfRule>
  </conditionalFormatting>
  <conditionalFormatting sqref="E7:F9 F11:F14">
    <cfRule type="cellIs" dxfId="77" priority="10" operator="lessThan">
      <formula>0</formula>
    </cfRule>
  </conditionalFormatting>
  <conditionalFormatting sqref="E27:F29">
    <cfRule type="cellIs" dxfId="76" priority="6" operator="lessThan">
      <formula>0</formula>
    </cfRule>
    <cfRule type="cellIs" dxfId="75" priority="7" operator="lessThan">
      <formula>0</formula>
    </cfRule>
  </conditionalFormatting>
  <conditionalFormatting sqref="E31:F34">
    <cfRule type="cellIs" dxfId="74" priority="2" operator="lessThan">
      <formula>0</formula>
    </cfRule>
    <cfRule type="cellIs" dxfId="73" priority="3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206"/>
  <sheetViews>
    <sheetView workbookViewId="0">
      <pane xSplit="1" ySplit="7" topLeftCell="B191" activePane="bottomRight" state="frozen"/>
      <selection pane="topRight" activeCell="B1" sqref="B1"/>
      <selection pane="bottomLeft" activeCell="A8" sqref="A8"/>
      <selection pane="bottomRight" activeCell="A137" sqref="A137:A150"/>
    </sheetView>
  </sheetViews>
  <sheetFormatPr defaultRowHeight="16.5"/>
  <cols>
    <col min="1" max="1" width="19.75" customWidth="1"/>
    <col min="2" max="2" width="10.375" customWidth="1"/>
    <col min="3" max="3" width="13.5" customWidth="1"/>
    <col min="4" max="4" width="10.375" customWidth="1"/>
    <col min="5" max="5" width="13.5" customWidth="1"/>
    <col min="6" max="6" width="10.375" customWidth="1"/>
    <col min="7" max="7" width="13.5" customWidth="1"/>
    <col min="8" max="8" width="9.25" customWidth="1"/>
    <col min="9" max="9" width="13.5" customWidth="1"/>
    <col min="10" max="10" width="10.375" customWidth="1"/>
    <col min="11" max="11" width="13.5" customWidth="1"/>
    <col min="12" max="12" width="10.375" customWidth="1"/>
    <col min="13" max="13" width="13.5" customWidth="1"/>
    <col min="14" max="14" width="10.375" customWidth="1"/>
    <col min="15" max="15" width="14.625" customWidth="1"/>
    <col min="16" max="16" width="10.375" customWidth="1"/>
    <col min="17" max="17" width="14.625" customWidth="1"/>
    <col min="18" max="18" width="10.375" bestFit="1" customWidth="1"/>
    <col min="19" max="19" width="13.5" bestFit="1" customWidth="1"/>
    <col min="20" max="20" width="10.375" bestFit="1" customWidth="1"/>
    <col min="21" max="21" width="13.5" bestFit="1" customWidth="1"/>
    <col min="22" max="22" width="11.25" customWidth="1"/>
    <col min="23" max="23" width="14.375" customWidth="1"/>
    <col min="24" max="24" width="14.25" customWidth="1"/>
    <col min="25" max="25" width="16.25" customWidth="1"/>
    <col min="26" max="26" width="12.25" bestFit="1" customWidth="1"/>
    <col min="27" max="27" width="15.375" customWidth="1"/>
  </cols>
  <sheetData>
    <row r="1" spans="1:27">
      <c r="A1" s="389" t="s">
        <v>152</v>
      </c>
      <c r="B1" s="390"/>
      <c r="C1" s="390"/>
      <c r="D1" s="390"/>
      <c r="E1" s="390"/>
      <c r="F1" s="390"/>
      <c r="G1" s="390"/>
      <c r="H1" s="390"/>
      <c r="I1" s="390"/>
      <c r="J1" s="391"/>
      <c r="K1" s="392"/>
      <c r="L1" s="390"/>
      <c r="M1" s="390"/>
      <c r="N1" s="390"/>
      <c r="O1" s="390"/>
      <c r="P1" s="390"/>
      <c r="Q1" s="390"/>
      <c r="R1" s="390"/>
      <c r="S1" s="390"/>
      <c r="T1" s="390"/>
      <c r="U1" s="390"/>
      <c r="V1" s="390"/>
      <c r="W1" s="390"/>
      <c r="X1" s="390"/>
      <c r="Y1" s="390"/>
      <c r="Z1" s="390"/>
      <c r="AA1" s="390"/>
    </row>
    <row r="2" spans="1:27">
      <c r="A2" s="393" t="s">
        <v>232</v>
      </c>
      <c r="B2" s="390"/>
      <c r="C2" s="390"/>
      <c r="D2" s="390"/>
      <c r="E2" s="390"/>
      <c r="F2" s="390"/>
      <c r="G2" s="390"/>
      <c r="H2" s="390"/>
      <c r="I2" s="390"/>
      <c r="J2" s="391"/>
      <c r="K2" s="392"/>
      <c r="L2" s="390"/>
      <c r="M2" s="390"/>
      <c r="N2" s="390"/>
      <c r="O2" s="390"/>
      <c r="P2" s="390"/>
      <c r="Q2" s="390"/>
      <c r="R2" s="390"/>
      <c r="S2" s="390"/>
      <c r="T2" s="390"/>
      <c r="U2" s="390"/>
      <c r="V2" s="390"/>
      <c r="W2" s="390"/>
      <c r="X2" s="390"/>
      <c r="Y2" s="390"/>
      <c r="Z2" s="390"/>
      <c r="AA2" s="390"/>
    </row>
    <row r="3" spans="1:27">
      <c r="A3" s="394" t="s">
        <v>121</v>
      </c>
      <c r="B3" s="390"/>
      <c r="C3" s="390"/>
      <c r="D3" s="390"/>
      <c r="E3" s="390"/>
      <c r="F3" s="390"/>
      <c r="G3" s="390"/>
      <c r="H3" s="390"/>
      <c r="I3" s="390"/>
      <c r="J3" s="391"/>
      <c r="K3" s="392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</row>
    <row r="4" spans="1:27">
      <c r="A4" s="394" t="s">
        <v>122</v>
      </c>
      <c r="B4" s="390"/>
      <c r="C4" s="390"/>
      <c r="D4" s="390"/>
      <c r="E4" s="390"/>
      <c r="F4" s="390"/>
      <c r="G4" s="390"/>
      <c r="H4" s="390"/>
      <c r="I4" s="390"/>
      <c r="J4" s="391"/>
      <c r="K4" s="392"/>
      <c r="L4" s="390"/>
      <c r="M4" s="390"/>
      <c r="N4" s="390"/>
      <c r="O4" s="390"/>
      <c r="P4" s="390"/>
      <c r="Q4" s="390"/>
      <c r="R4" s="390"/>
      <c r="S4" s="390"/>
      <c r="T4" s="390"/>
      <c r="U4" s="390"/>
      <c r="V4" s="390"/>
      <c r="W4" s="390"/>
      <c r="X4" s="390"/>
      <c r="Y4" s="390"/>
      <c r="Z4" s="390"/>
      <c r="AA4" s="390"/>
    </row>
    <row r="5" spans="1:27">
      <c r="A5" s="395" t="s">
        <v>123</v>
      </c>
      <c r="B5" s="390"/>
      <c r="C5" s="390"/>
      <c r="D5" s="390"/>
      <c r="E5" s="390"/>
      <c r="F5" s="390"/>
      <c r="G5" s="390"/>
      <c r="H5" s="390"/>
      <c r="I5" s="390"/>
      <c r="J5" s="391"/>
      <c r="K5" s="392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</row>
    <row r="6" spans="1:27">
      <c r="A6" s="396"/>
      <c r="B6" s="397" t="s">
        <v>124</v>
      </c>
      <c r="C6" s="398"/>
      <c r="D6" s="397" t="s">
        <v>125</v>
      </c>
      <c r="E6" s="398"/>
      <c r="F6" s="397" t="s">
        <v>126</v>
      </c>
      <c r="G6" s="398"/>
      <c r="H6" s="397" t="s">
        <v>127</v>
      </c>
      <c r="I6" s="398"/>
      <c r="J6" s="399" t="s">
        <v>128</v>
      </c>
      <c r="K6" s="400"/>
      <c r="L6" s="397" t="s">
        <v>129</v>
      </c>
      <c r="M6" s="398"/>
      <c r="N6" s="397" t="s">
        <v>130</v>
      </c>
      <c r="O6" s="398"/>
      <c r="P6" s="397" t="s">
        <v>131</v>
      </c>
      <c r="Q6" s="398"/>
      <c r="R6" s="397" t="s">
        <v>132</v>
      </c>
      <c r="S6" s="398"/>
      <c r="T6" s="397" t="s">
        <v>133</v>
      </c>
      <c r="U6" s="398"/>
      <c r="V6" s="397" t="s">
        <v>134</v>
      </c>
      <c r="W6" s="398"/>
      <c r="X6" s="397" t="s">
        <v>135</v>
      </c>
      <c r="Y6" s="398"/>
      <c r="Z6" s="397" t="s">
        <v>106</v>
      </c>
      <c r="AA6" s="398"/>
    </row>
    <row r="7" spans="1:27">
      <c r="A7" s="401" t="s">
        <v>136</v>
      </c>
      <c r="B7" s="402" t="s">
        <v>137</v>
      </c>
      <c r="C7" s="402" t="s">
        <v>138</v>
      </c>
      <c r="D7" s="402" t="s">
        <v>139</v>
      </c>
      <c r="E7" s="402" t="s">
        <v>140</v>
      </c>
      <c r="F7" s="402" t="s">
        <v>139</v>
      </c>
      <c r="G7" s="402" t="s">
        <v>140</v>
      </c>
      <c r="H7" s="402" t="s">
        <v>139</v>
      </c>
      <c r="I7" s="402" t="s">
        <v>140</v>
      </c>
      <c r="J7" s="403" t="s">
        <v>139</v>
      </c>
      <c r="K7" s="404" t="s">
        <v>140</v>
      </c>
      <c r="L7" s="402" t="s">
        <v>139</v>
      </c>
      <c r="M7" s="402" t="s">
        <v>140</v>
      </c>
      <c r="N7" s="402" t="s">
        <v>139</v>
      </c>
      <c r="O7" s="402" t="s">
        <v>140</v>
      </c>
      <c r="P7" s="402" t="s">
        <v>139</v>
      </c>
      <c r="Q7" s="402" t="s">
        <v>140</v>
      </c>
      <c r="R7" s="402" t="s">
        <v>139</v>
      </c>
      <c r="S7" s="402" t="s">
        <v>140</v>
      </c>
      <c r="T7" s="402" t="s">
        <v>139</v>
      </c>
      <c r="U7" s="402" t="s">
        <v>140</v>
      </c>
      <c r="V7" s="402" t="s">
        <v>139</v>
      </c>
      <c r="W7" s="402" t="s">
        <v>140</v>
      </c>
      <c r="X7" s="402" t="s">
        <v>139</v>
      </c>
      <c r="Y7" s="402" t="s">
        <v>140</v>
      </c>
      <c r="Z7" s="402" t="s">
        <v>139</v>
      </c>
      <c r="AA7" s="402" t="s">
        <v>140</v>
      </c>
    </row>
    <row r="8" spans="1:27">
      <c r="A8" s="405"/>
      <c r="B8" s="406"/>
      <c r="C8" s="406"/>
      <c r="D8" s="406"/>
      <c r="E8" s="406"/>
      <c r="F8" s="406"/>
      <c r="G8" s="406"/>
      <c r="H8" s="406"/>
      <c r="I8" s="406"/>
      <c r="J8" s="407"/>
      <c r="K8" s="408"/>
      <c r="L8" s="406"/>
      <c r="M8" s="406"/>
      <c r="N8" s="406"/>
      <c r="O8" s="406"/>
      <c r="P8" s="406"/>
      <c r="Q8" s="406"/>
      <c r="R8" s="406"/>
      <c r="S8" s="406"/>
      <c r="T8" s="406"/>
      <c r="U8" s="406"/>
      <c r="V8" s="406"/>
      <c r="W8" s="406"/>
      <c r="X8" s="406"/>
      <c r="Y8" s="406"/>
      <c r="Z8" s="406"/>
      <c r="AA8" s="406"/>
    </row>
    <row r="9" spans="1:27">
      <c r="A9" s="409" t="s">
        <v>106</v>
      </c>
      <c r="B9" s="410">
        <f t="shared" ref="B9:Y9" si="0">B11+B36+B85+B97+B102+B136+B151+B189</f>
        <v>149387</v>
      </c>
      <c r="C9" s="410">
        <f t="shared" si="0"/>
        <v>83642274</v>
      </c>
      <c r="D9" s="410">
        <f t="shared" si="0"/>
        <v>134859</v>
      </c>
      <c r="E9" s="410">
        <f t="shared" si="0"/>
        <v>77838400</v>
      </c>
      <c r="F9" s="410">
        <f t="shared" si="0"/>
        <v>116197</v>
      </c>
      <c r="G9" s="410">
        <f t="shared" si="0"/>
        <v>70981672</v>
      </c>
      <c r="H9" s="410">
        <f>H11+H36+H85+H97+H102+H136+H151+H189</f>
        <v>96180</v>
      </c>
      <c r="I9" s="410">
        <f t="shared" si="0"/>
        <v>53927495</v>
      </c>
      <c r="J9" s="411">
        <f t="shared" si="0"/>
        <v>135293</v>
      </c>
      <c r="K9" s="412">
        <f t="shared" si="0"/>
        <v>86108621</v>
      </c>
      <c r="L9" s="410">
        <f t="shared" si="0"/>
        <v>137464</v>
      </c>
      <c r="M9" s="410">
        <f t="shared" si="0"/>
        <v>97259100</v>
      </c>
      <c r="N9" s="410">
        <f t="shared" si="0"/>
        <v>135636</v>
      </c>
      <c r="O9" s="410">
        <f>O11+O36+O85+O97+O102+O136+O151+O189</f>
        <v>113137191</v>
      </c>
      <c r="P9" s="410">
        <f t="shared" ref="P9:Q9" si="1">P11+P36+P85+P97+P102+P136+P151+P189</f>
        <v>180175</v>
      </c>
      <c r="Q9" s="410">
        <f t="shared" si="1"/>
        <v>130469911</v>
      </c>
      <c r="R9" s="410">
        <f t="shared" si="0"/>
        <v>138272</v>
      </c>
      <c r="S9" s="410">
        <f t="shared" si="0"/>
        <v>91374787</v>
      </c>
      <c r="T9" s="410">
        <f t="shared" si="0"/>
        <v>158604</v>
      </c>
      <c r="U9" s="410">
        <f t="shared" si="0"/>
        <v>99046159</v>
      </c>
      <c r="V9" s="410">
        <f>V11+V36+V85+V97+V102+V136+V151+V189</f>
        <v>154200</v>
      </c>
      <c r="W9" s="410">
        <f>W11+W36+W85+W97+W102+W136+W151+W189</f>
        <v>91747985</v>
      </c>
      <c r="X9" s="410">
        <f t="shared" si="0"/>
        <v>162659</v>
      </c>
      <c r="Y9" s="410">
        <f t="shared" si="0"/>
        <v>102455347</v>
      </c>
      <c r="Z9" s="410">
        <f>SUM(B9,D9,F9,H9,J9,L9,N9,P9,R9,T9,V9,X9)</f>
        <v>1698926</v>
      </c>
      <c r="AA9" s="410">
        <f>SUM(C9,E9,G9,I9,K9,M9,O9,Q9,S9,U9,W9,Y9)</f>
        <v>1097988942</v>
      </c>
    </row>
    <row r="10" spans="1:27">
      <c r="A10" s="413"/>
      <c r="B10" s="414"/>
      <c r="C10" s="414"/>
      <c r="D10" s="414"/>
      <c r="E10" s="414"/>
      <c r="F10" s="414"/>
      <c r="G10" s="414"/>
      <c r="H10" s="414"/>
      <c r="I10" s="414"/>
      <c r="J10" s="407"/>
      <c r="K10" s="408"/>
      <c r="L10" s="414"/>
      <c r="M10" s="414"/>
      <c r="N10" s="414"/>
      <c r="O10" s="414"/>
      <c r="P10" s="414"/>
      <c r="Q10" s="414"/>
      <c r="R10" s="414"/>
      <c r="S10" s="414"/>
      <c r="T10" s="414"/>
      <c r="U10" s="414"/>
      <c r="V10" s="414"/>
      <c r="W10" s="414"/>
      <c r="X10" s="414"/>
      <c r="Y10" s="414"/>
      <c r="Z10" s="414"/>
      <c r="AA10" s="414"/>
    </row>
    <row r="11" spans="1:27">
      <c r="A11" s="415" t="s">
        <v>141</v>
      </c>
      <c r="B11" s="416">
        <f t="shared" ref="B11:Y11" si="2">SUM(B12:B34)</f>
        <v>9822</v>
      </c>
      <c r="C11" s="416">
        <f t="shared" si="2"/>
        <v>7689072</v>
      </c>
      <c r="D11" s="416">
        <f t="shared" si="2"/>
        <v>13182</v>
      </c>
      <c r="E11" s="416">
        <f t="shared" si="2"/>
        <v>9988636</v>
      </c>
      <c r="F11" s="416">
        <f t="shared" si="2"/>
        <v>12924</v>
      </c>
      <c r="G11" s="416">
        <f t="shared" si="2"/>
        <v>10303881</v>
      </c>
      <c r="H11" s="416">
        <f t="shared" si="2"/>
        <v>8794</v>
      </c>
      <c r="I11" s="416">
        <f t="shared" si="2"/>
        <v>7937732</v>
      </c>
      <c r="J11" s="417">
        <f t="shared" si="2"/>
        <v>14153</v>
      </c>
      <c r="K11" s="418">
        <f>SUM(K12:K34)</f>
        <v>9985367</v>
      </c>
      <c r="L11" s="416">
        <f t="shared" si="2"/>
        <v>13721</v>
      </c>
      <c r="M11" s="416">
        <f t="shared" si="2"/>
        <v>10777159</v>
      </c>
      <c r="N11" s="416">
        <f t="shared" si="2"/>
        <v>17223</v>
      </c>
      <c r="O11" s="416">
        <f t="shared" si="2"/>
        <v>14149868</v>
      </c>
      <c r="P11" s="416">
        <f t="shared" si="2"/>
        <v>16854</v>
      </c>
      <c r="Q11" s="416">
        <f t="shared" si="2"/>
        <v>16948467</v>
      </c>
      <c r="R11" s="416">
        <f t="shared" si="2"/>
        <v>13693</v>
      </c>
      <c r="S11" s="416">
        <f t="shared" si="2"/>
        <v>11152146</v>
      </c>
      <c r="T11" s="416">
        <f t="shared" si="2"/>
        <v>11159</v>
      </c>
      <c r="U11" s="416">
        <f t="shared" si="2"/>
        <v>10364638</v>
      </c>
      <c r="V11" s="416">
        <f>SUM(V12:V34)</f>
        <v>11101</v>
      </c>
      <c r="W11" s="416">
        <f>SUM(W12:W34)</f>
        <v>10615154</v>
      </c>
      <c r="X11" s="416">
        <f t="shared" si="2"/>
        <v>15058</v>
      </c>
      <c r="Y11" s="416">
        <f t="shared" si="2"/>
        <v>14072707</v>
      </c>
      <c r="Z11" s="416">
        <f t="shared" ref="Z11:Z34" si="3">SUM(B11,D11,F11,H11,J11,L11,N11,P11,R11,T11,V11,X11)</f>
        <v>157684</v>
      </c>
      <c r="AA11" s="416">
        <f t="shared" ref="AA11:AA34" si="4">SUM(C11,E11,G11,I11,K11,M11,O11,Q11,S11,U11,W11,Y11)</f>
        <v>133984827</v>
      </c>
    </row>
    <row r="12" spans="1:27">
      <c r="A12" s="419" t="s">
        <v>223</v>
      </c>
      <c r="B12" s="420">
        <v>6052</v>
      </c>
      <c r="C12" s="420">
        <v>4259214</v>
      </c>
      <c r="D12" s="420">
        <v>7754</v>
      </c>
      <c r="E12" s="420">
        <v>4910425</v>
      </c>
      <c r="F12" s="420">
        <v>5600</v>
      </c>
      <c r="G12" s="420">
        <v>3312180</v>
      </c>
      <c r="H12" s="420">
        <v>3341</v>
      </c>
      <c r="I12" s="420">
        <v>2434783</v>
      </c>
      <c r="J12" s="421">
        <v>6917</v>
      </c>
      <c r="K12" s="422">
        <v>3550152</v>
      </c>
      <c r="L12" s="420">
        <v>4508</v>
      </c>
      <c r="M12" s="420">
        <v>3172221</v>
      </c>
      <c r="N12" s="420">
        <v>8345</v>
      </c>
      <c r="O12" s="420">
        <v>5467381</v>
      </c>
      <c r="P12" s="420">
        <v>6542</v>
      </c>
      <c r="Q12" s="420">
        <v>5892377</v>
      </c>
      <c r="R12" s="420">
        <v>4607</v>
      </c>
      <c r="S12" s="420">
        <v>2424966</v>
      </c>
      <c r="T12" s="420">
        <v>3933</v>
      </c>
      <c r="U12" s="420">
        <v>2807435</v>
      </c>
      <c r="V12" s="420">
        <f>_xlfn.IFNA(VLOOKUP(A12,[3]進出口值表查詢結果!$C$11:$F$68,4,0),-[4]整車!$B$22)</f>
        <v>4019</v>
      </c>
      <c r="W12" s="420">
        <f>_xlfn.IFNA(VLOOKUP(A12,[3]進出口值表查詢結果!$C$11:$F$68,3,0),-[4]整車!$B$22)</f>
        <v>3259963</v>
      </c>
      <c r="X12" s="420">
        <f>_xlfn.IFNA(VLOOKUP(A12,[5]進出口值表查詢結果!$C$11:$F$68,4,0),-[4]整車!$B$22)</f>
        <v>5220</v>
      </c>
      <c r="Y12" s="420">
        <f>_xlfn.IFNA(VLOOKUP(A12,[5]進出口值表查詢結果!$C$11:$F$68,3,0),-[4]整車!$B$22)</f>
        <v>3196394</v>
      </c>
      <c r="Z12" s="414">
        <f t="shared" si="3"/>
        <v>66838</v>
      </c>
      <c r="AA12" s="414">
        <f t="shared" si="4"/>
        <v>44687491</v>
      </c>
    </row>
    <row r="13" spans="1:27">
      <c r="A13" s="419" t="s">
        <v>233</v>
      </c>
      <c r="B13" s="420">
        <v>179</v>
      </c>
      <c r="C13" s="420">
        <v>131656</v>
      </c>
      <c r="D13" s="420">
        <v>274</v>
      </c>
      <c r="E13" s="420">
        <v>366955</v>
      </c>
      <c r="F13" s="420">
        <v>379</v>
      </c>
      <c r="G13" s="420">
        <v>326020</v>
      </c>
      <c r="H13" s="420">
        <v>412</v>
      </c>
      <c r="I13" s="420">
        <v>690860</v>
      </c>
      <c r="J13" s="421">
        <v>564</v>
      </c>
      <c r="K13" s="422">
        <v>591178</v>
      </c>
      <c r="L13" s="420">
        <v>419</v>
      </c>
      <c r="M13" s="420">
        <v>628920</v>
      </c>
      <c r="N13" s="420">
        <v>900</v>
      </c>
      <c r="O13" s="420">
        <v>1147430</v>
      </c>
      <c r="P13" s="420">
        <v>1146</v>
      </c>
      <c r="Q13" s="420">
        <v>1244090</v>
      </c>
      <c r="R13" s="420">
        <v>1102</v>
      </c>
      <c r="S13" s="420">
        <v>984782</v>
      </c>
      <c r="T13" s="420">
        <v>754</v>
      </c>
      <c r="U13" s="420">
        <v>962823</v>
      </c>
      <c r="V13" s="420">
        <f>_xlfn.IFNA(VLOOKUP(A13,[3]進出口值表查詢結果!$C$11:$F$68,4,0),-[4]整車!$B$22)</f>
        <v>856</v>
      </c>
      <c r="W13" s="420">
        <f>_xlfn.IFNA(VLOOKUP(A13,[3]進出口值表查詢結果!$C$11:$F$68,3,0),-[4]整車!$B$22)</f>
        <v>955426</v>
      </c>
      <c r="X13" s="420">
        <f>_xlfn.IFNA(VLOOKUP(A13,[5]進出口值表查詢結果!$C$11:$F$68,4,0),-[4]整車!$B$22)</f>
        <v>1391</v>
      </c>
      <c r="Y13" s="420">
        <f>_xlfn.IFNA(VLOOKUP(A13,[5]進出口值表查詢結果!$C$11:$F$68,3,0),-[4]整車!$B$22)</f>
        <v>1781279</v>
      </c>
      <c r="Z13" s="414">
        <f t="shared" si="3"/>
        <v>8376</v>
      </c>
      <c r="AA13" s="414">
        <f t="shared" si="4"/>
        <v>9811419</v>
      </c>
    </row>
    <row r="14" spans="1:27">
      <c r="A14" s="457" t="s">
        <v>234</v>
      </c>
      <c r="B14" s="420">
        <v>524</v>
      </c>
      <c r="C14" s="420">
        <v>127658</v>
      </c>
      <c r="D14" s="420">
        <v>549</v>
      </c>
      <c r="E14" s="420">
        <v>126180</v>
      </c>
      <c r="F14" s="420">
        <v>710</v>
      </c>
      <c r="G14" s="420">
        <v>174742</v>
      </c>
      <c r="H14" s="420">
        <v>864</v>
      </c>
      <c r="I14" s="420">
        <v>362370</v>
      </c>
      <c r="J14" s="421">
        <v>1603</v>
      </c>
      <c r="K14" s="422">
        <v>677515</v>
      </c>
      <c r="L14" s="420">
        <v>1216</v>
      </c>
      <c r="M14" s="420">
        <v>120579</v>
      </c>
      <c r="N14" s="420">
        <v>1021</v>
      </c>
      <c r="O14" s="420">
        <v>611528</v>
      </c>
      <c r="P14" s="420">
        <v>1131</v>
      </c>
      <c r="Q14" s="420">
        <v>586618</v>
      </c>
      <c r="R14" s="420">
        <v>1515</v>
      </c>
      <c r="S14" s="420">
        <v>914097</v>
      </c>
      <c r="T14" s="420">
        <v>818</v>
      </c>
      <c r="U14" s="420">
        <v>265715</v>
      </c>
      <c r="V14" s="420">
        <f>_xlfn.IFNA(VLOOKUP(A14,[3]進出口值表查詢結果!$C$11:$F$68,4,0),-[4]整車!$B$22)</f>
        <v>695</v>
      </c>
      <c r="W14" s="420">
        <f>_xlfn.IFNA(VLOOKUP(A14,[3]進出口值表查詢結果!$C$11:$F$68,3,0),-[4]整車!$B$22)</f>
        <v>379724</v>
      </c>
      <c r="X14" s="420">
        <f>_xlfn.IFNA(VLOOKUP(A14,[5]進出口值表查詢結果!$C$11:$F$68,4,0),-[4]整車!$B$22)</f>
        <v>456</v>
      </c>
      <c r="Y14" s="420">
        <f>_xlfn.IFNA(VLOOKUP(A14,[5]進出口值表查詢結果!$C$11:$F$68,3,0),-[4]整車!$B$22)</f>
        <v>425334</v>
      </c>
      <c r="Z14" s="414">
        <f t="shared" si="3"/>
        <v>11102</v>
      </c>
      <c r="AA14" s="414">
        <f t="shared" si="4"/>
        <v>4772060</v>
      </c>
    </row>
    <row r="15" spans="1:27">
      <c r="A15" s="457" t="s">
        <v>172</v>
      </c>
      <c r="B15" s="420">
        <v>65</v>
      </c>
      <c r="C15" s="420">
        <v>102167</v>
      </c>
      <c r="D15" s="420">
        <v>153</v>
      </c>
      <c r="E15" s="420">
        <v>198502</v>
      </c>
      <c r="F15" s="420">
        <v>171</v>
      </c>
      <c r="G15" s="420">
        <v>186525</v>
      </c>
      <c r="H15" s="420">
        <v>62</v>
      </c>
      <c r="I15" s="420">
        <v>69195</v>
      </c>
      <c r="J15" s="421">
        <v>111</v>
      </c>
      <c r="K15" s="422">
        <v>71668</v>
      </c>
      <c r="L15" s="420">
        <v>156</v>
      </c>
      <c r="M15" s="420">
        <v>125402</v>
      </c>
      <c r="N15" s="420">
        <v>167</v>
      </c>
      <c r="O15" s="420">
        <v>258485</v>
      </c>
      <c r="P15" s="420">
        <v>211</v>
      </c>
      <c r="Q15" s="420">
        <v>238597</v>
      </c>
      <c r="R15" s="420">
        <v>601</v>
      </c>
      <c r="S15" s="420">
        <v>371230</v>
      </c>
      <c r="T15" s="420">
        <v>212</v>
      </c>
      <c r="U15" s="420">
        <v>237659</v>
      </c>
      <c r="V15" s="420">
        <f>_xlfn.IFNA(VLOOKUP(A15,[3]進出口值表查詢結果!$C$11:$F$68,4,0),-[4]整車!$B$22)</f>
        <v>156</v>
      </c>
      <c r="W15" s="420">
        <f>_xlfn.IFNA(VLOOKUP(A15,[3]進出口值表查詢結果!$C$11:$F$68,3,0),-[4]整車!$B$22)</f>
        <v>243778</v>
      </c>
      <c r="X15" s="420">
        <f>_xlfn.IFNA(VLOOKUP(A15,[5]進出口值表查詢結果!$C$11:$F$68,4,0),-[4]整車!$B$22)</f>
        <v>452</v>
      </c>
      <c r="Y15" s="420">
        <f>_xlfn.IFNA(VLOOKUP(A15,[5]進出口值表查詢結果!$C$11:$F$68,3,0),-[4]整車!$B$22)</f>
        <v>279986</v>
      </c>
      <c r="Z15" s="414">
        <f t="shared" si="3"/>
        <v>2517</v>
      </c>
      <c r="AA15" s="414">
        <f t="shared" si="4"/>
        <v>2383194</v>
      </c>
    </row>
    <row r="16" spans="1:27">
      <c r="A16" s="458" t="s">
        <v>178</v>
      </c>
      <c r="B16" s="420">
        <v>1307</v>
      </c>
      <c r="C16" s="420">
        <v>1817059</v>
      </c>
      <c r="D16" s="420">
        <v>1950</v>
      </c>
      <c r="E16" s="420">
        <v>2185577</v>
      </c>
      <c r="F16" s="420">
        <v>2367</v>
      </c>
      <c r="G16" s="420">
        <v>2674246</v>
      </c>
      <c r="H16" s="420">
        <v>2201</v>
      </c>
      <c r="I16" s="420">
        <v>1979400</v>
      </c>
      <c r="J16" s="421">
        <v>2682</v>
      </c>
      <c r="K16" s="422">
        <v>2461078</v>
      </c>
      <c r="L16" s="420">
        <v>2380</v>
      </c>
      <c r="M16" s="420">
        <v>2624768</v>
      </c>
      <c r="N16" s="420">
        <v>2747</v>
      </c>
      <c r="O16" s="420">
        <v>2999359</v>
      </c>
      <c r="P16" s="420">
        <v>3612</v>
      </c>
      <c r="Q16" s="420">
        <v>4516165</v>
      </c>
      <c r="R16" s="420">
        <v>2996</v>
      </c>
      <c r="S16" s="420">
        <v>3713824</v>
      </c>
      <c r="T16" s="420">
        <v>2056</v>
      </c>
      <c r="U16" s="420">
        <v>2891152</v>
      </c>
      <c r="V16" s="420">
        <f>_xlfn.IFNA(VLOOKUP(A16,[3]進出口值表查詢結果!$C$11:$F$68,4,0),-[4]整車!$B$22)</f>
        <v>1790</v>
      </c>
      <c r="W16" s="420">
        <f>_xlfn.IFNA(VLOOKUP(A16,[3]進出口值表查詢結果!$C$11:$F$68,3,0),-[4]整車!$B$22)</f>
        <v>2212342</v>
      </c>
      <c r="X16" s="420">
        <f>_xlfn.IFNA(VLOOKUP(A16,[5]進出口值表查詢結果!$C$11:$F$68,4,0),-[4]整車!$B$22)</f>
        <v>1546</v>
      </c>
      <c r="Y16" s="420">
        <f>_xlfn.IFNA(VLOOKUP(A16,[5]進出口值表查詢結果!$C$11:$F$68,3,0),-[4]整車!$B$22)</f>
        <v>1984044</v>
      </c>
      <c r="Z16" s="414">
        <f t="shared" si="3"/>
        <v>27634</v>
      </c>
      <c r="AA16" s="414">
        <f t="shared" si="4"/>
        <v>32059014</v>
      </c>
    </row>
    <row r="17" spans="1:27">
      <c r="A17" s="457" t="s">
        <v>181</v>
      </c>
      <c r="B17" s="420">
        <v>196</v>
      </c>
      <c r="C17" s="420">
        <v>159614</v>
      </c>
      <c r="D17" s="420">
        <v>25</v>
      </c>
      <c r="E17" s="420">
        <v>14125</v>
      </c>
      <c r="F17" s="420">
        <v>272</v>
      </c>
      <c r="G17" s="420">
        <v>324659</v>
      </c>
      <c r="H17" s="420">
        <v>6</v>
      </c>
      <c r="I17" s="420">
        <v>198</v>
      </c>
      <c r="J17" s="421">
        <v>392</v>
      </c>
      <c r="K17" s="422">
        <v>442301</v>
      </c>
      <c r="L17" s="420">
        <v>213</v>
      </c>
      <c r="M17" s="420">
        <v>334619</v>
      </c>
      <c r="N17" s="420">
        <v>471</v>
      </c>
      <c r="O17" s="420">
        <v>520823</v>
      </c>
      <c r="P17" s="420">
        <v>373</v>
      </c>
      <c r="Q17" s="420">
        <v>455099</v>
      </c>
      <c r="R17" s="420">
        <v>34</v>
      </c>
      <c r="S17" s="420">
        <v>38452</v>
      </c>
      <c r="T17" s="420">
        <v>10</v>
      </c>
      <c r="U17" s="420">
        <v>4200</v>
      </c>
      <c r="V17" s="420">
        <f>_xlfn.IFNA(VLOOKUP(A17,[3]進出口值表查詢結果!$C$11:$F$68,4,0),-[4]整車!$B$22)</f>
        <v>34</v>
      </c>
      <c r="W17" s="420">
        <f>_xlfn.IFNA(VLOOKUP(A17,[3]進出口值表查詢結果!$C$11:$F$68,3,0),-[4]整車!$B$22)</f>
        <v>42910</v>
      </c>
      <c r="X17" s="420">
        <f>_xlfn.IFNA(VLOOKUP(A17,[5]進出口值表查詢結果!$C$11:$F$68,4,0),-[4]整車!$B$22)</f>
        <v>823</v>
      </c>
      <c r="Y17" s="420">
        <f>_xlfn.IFNA(VLOOKUP(A17,[5]進出口值表查詢結果!$C$11:$F$68,3,0),-[4]整車!$B$22)</f>
        <v>958153</v>
      </c>
      <c r="Z17" s="414">
        <f t="shared" si="3"/>
        <v>2849</v>
      </c>
      <c r="AA17" s="414">
        <f t="shared" si="4"/>
        <v>3295153</v>
      </c>
    </row>
    <row r="18" spans="1:27">
      <c r="A18" s="457" t="s">
        <v>183</v>
      </c>
      <c r="B18" s="420">
        <v>246</v>
      </c>
      <c r="C18" s="420">
        <v>218428</v>
      </c>
      <c r="D18" s="420">
        <v>112</v>
      </c>
      <c r="E18" s="420">
        <v>127248</v>
      </c>
      <c r="F18" s="420">
        <v>145</v>
      </c>
      <c r="G18" s="420">
        <v>175938</v>
      </c>
      <c r="H18" s="420">
        <v>76</v>
      </c>
      <c r="I18" s="420">
        <v>84167</v>
      </c>
      <c r="J18" s="421">
        <v>231</v>
      </c>
      <c r="K18" s="422">
        <v>292647</v>
      </c>
      <c r="L18" s="420">
        <v>225</v>
      </c>
      <c r="M18" s="420">
        <v>233311</v>
      </c>
      <c r="N18" s="420">
        <v>442</v>
      </c>
      <c r="O18" s="420">
        <v>515923</v>
      </c>
      <c r="P18" s="420">
        <v>635</v>
      </c>
      <c r="Q18" s="420">
        <v>666047</v>
      </c>
      <c r="R18" s="420">
        <v>372</v>
      </c>
      <c r="S18" s="420">
        <v>415965</v>
      </c>
      <c r="T18" s="420">
        <v>793</v>
      </c>
      <c r="U18" s="420">
        <v>698930</v>
      </c>
      <c r="V18" s="420">
        <f>_xlfn.IFNA(VLOOKUP(A18,[3]進出口值表查詢結果!$C$11:$F$68,4,0),-[4]整車!$B$22)</f>
        <v>332</v>
      </c>
      <c r="W18" s="420">
        <f>_xlfn.IFNA(VLOOKUP(A18,[3]進出口值表查詢結果!$C$11:$F$68,3,0),-[4]整車!$B$22)</f>
        <v>417088</v>
      </c>
      <c r="X18" s="420">
        <f>_xlfn.IFNA(VLOOKUP(A18,[5]進出口值表查詢結果!$C$11:$F$68,4,0),-[4]整車!$B$22)</f>
        <v>830</v>
      </c>
      <c r="Y18" s="420">
        <f>_xlfn.IFNA(VLOOKUP(A18,[5]進出口值表查詢結果!$C$11:$F$68,3,0),-[4]整車!$B$22)</f>
        <v>1167495</v>
      </c>
      <c r="Z18" s="414">
        <f t="shared" si="3"/>
        <v>4439</v>
      </c>
      <c r="AA18" s="414">
        <f t="shared" si="4"/>
        <v>5013187</v>
      </c>
    </row>
    <row r="19" spans="1:27">
      <c r="A19" s="457" t="s">
        <v>182</v>
      </c>
      <c r="B19" s="420">
        <v>38</v>
      </c>
      <c r="C19" s="420">
        <v>34255</v>
      </c>
      <c r="D19" s="420">
        <v>114</v>
      </c>
      <c r="E19" s="420">
        <v>142072</v>
      </c>
      <c r="F19" s="420">
        <v>47</v>
      </c>
      <c r="G19" s="420">
        <v>88748</v>
      </c>
      <c r="H19" s="420">
        <v>116</v>
      </c>
      <c r="I19" s="420">
        <v>179464</v>
      </c>
      <c r="J19" s="421">
        <v>134</v>
      </c>
      <c r="K19" s="422">
        <v>160240</v>
      </c>
      <c r="L19" s="420">
        <v>114</v>
      </c>
      <c r="M19" s="420">
        <v>167091</v>
      </c>
      <c r="N19" s="420">
        <v>103</v>
      </c>
      <c r="O19" s="420">
        <v>156524</v>
      </c>
      <c r="P19" s="420">
        <v>60</v>
      </c>
      <c r="Q19" s="420">
        <v>89867</v>
      </c>
      <c r="R19" s="420">
        <v>291</v>
      </c>
      <c r="S19" s="420">
        <v>452957</v>
      </c>
      <c r="T19" s="420">
        <v>157</v>
      </c>
      <c r="U19" s="420">
        <v>198796</v>
      </c>
      <c r="V19" s="420">
        <f>_xlfn.IFNA(VLOOKUP(A19,[3]進出口值表查詢結果!$C$11:$F$68,4,0),-[4]整車!$B$22)</f>
        <v>161</v>
      </c>
      <c r="W19" s="420">
        <f>_xlfn.IFNA(VLOOKUP(A19,[3]進出口值表查詢結果!$C$11:$F$68,3,0),-[4]整車!$B$22)</f>
        <v>332513</v>
      </c>
      <c r="X19" s="420">
        <f>_xlfn.IFNA(VLOOKUP(A19,[5]進出口值表查詢結果!$C$11:$F$68,4,0),-[4]整車!$B$22)</f>
        <v>82</v>
      </c>
      <c r="Y19" s="420">
        <f>_xlfn.IFNA(VLOOKUP(A19,[5]進出口值表查詢結果!$C$11:$F$68,3,0),-[4]整車!$B$22)</f>
        <v>135445</v>
      </c>
      <c r="Z19" s="414">
        <f t="shared" si="3"/>
        <v>1417</v>
      </c>
      <c r="AA19" s="414">
        <f t="shared" si="4"/>
        <v>2137972</v>
      </c>
    </row>
    <row r="20" spans="1:27">
      <c r="A20" s="457" t="s">
        <v>235</v>
      </c>
      <c r="B20" s="420">
        <v>0</v>
      </c>
      <c r="C20" s="420">
        <v>0</v>
      </c>
      <c r="D20" s="420">
        <v>62</v>
      </c>
      <c r="E20" s="420">
        <v>80913</v>
      </c>
      <c r="F20" s="420">
        <v>0</v>
      </c>
      <c r="G20" s="420"/>
      <c r="H20" s="420">
        <v>0</v>
      </c>
      <c r="I20" s="420">
        <v>0</v>
      </c>
      <c r="J20" s="421">
        <v>14</v>
      </c>
      <c r="K20" s="422">
        <v>18143</v>
      </c>
      <c r="L20" s="420">
        <v>0</v>
      </c>
      <c r="M20" s="420">
        <v>0</v>
      </c>
      <c r="N20" s="420">
        <v>0</v>
      </c>
      <c r="O20" s="420">
        <v>0</v>
      </c>
      <c r="P20" s="420">
        <v>0</v>
      </c>
      <c r="Q20" s="420">
        <v>0</v>
      </c>
      <c r="R20" s="420">
        <v>0</v>
      </c>
      <c r="S20" s="420">
        <v>0</v>
      </c>
      <c r="T20" s="420"/>
      <c r="U20" s="420"/>
      <c r="V20" s="420">
        <f>_xlfn.IFNA(VLOOKUP(A20,[3]進出口值表查詢結果!$C$11:$F$68,4,0),-[4]整車!$B$22)</f>
        <v>0</v>
      </c>
      <c r="W20" s="420">
        <f>_xlfn.IFNA(VLOOKUP(A20,[3]進出口值表查詢結果!$C$11:$F$68,3,0),-[4]整車!$B$22)</f>
        <v>0</v>
      </c>
      <c r="X20" s="420">
        <f>_xlfn.IFNA(VLOOKUP(A20,[5]進出口值表查詢結果!$C$11:$F$68,4,0),-[4]整車!$B$22)</f>
        <v>0</v>
      </c>
      <c r="Y20" s="420">
        <f>_xlfn.IFNA(VLOOKUP(A20,[5]進出口值表查詢結果!$C$11:$F$68,3,0),-[4]整車!$B$22)</f>
        <v>0</v>
      </c>
      <c r="Z20" s="414">
        <f t="shared" si="3"/>
        <v>76</v>
      </c>
      <c r="AA20" s="414">
        <f t="shared" si="4"/>
        <v>99056</v>
      </c>
    </row>
    <row r="21" spans="1:27">
      <c r="A21" s="457" t="s">
        <v>193</v>
      </c>
      <c r="B21" s="420">
        <v>367</v>
      </c>
      <c r="C21" s="420">
        <v>213697</v>
      </c>
      <c r="D21" s="420">
        <v>458</v>
      </c>
      <c r="E21" s="420">
        <v>230710</v>
      </c>
      <c r="F21" s="420">
        <v>165</v>
      </c>
      <c r="G21" s="420">
        <v>82941</v>
      </c>
      <c r="H21" s="420">
        <v>35</v>
      </c>
      <c r="I21" s="420">
        <v>4203</v>
      </c>
      <c r="J21" s="421">
        <v>74</v>
      </c>
      <c r="K21" s="422">
        <v>16703</v>
      </c>
      <c r="L21" s="420">
        <v>938</v>
      </c>
      <c r="M21" s="420">
        <v>178622</v>
      </c>
      <c r="N21" s="420">
        <v>107</v>
      </c>
      <c r="O21" s="420">
        <v>7169</v>
      </c>
      <c r="P21" s="420">
        <v>364</v>
      </c>
      <c r="Q21" s="420">
        <v>13151</v>
      </c>
      <c r="R21" s="420">
        <v>211</v>
      </c>
      <c r="S21" s="420">
        <v>139301</v>
      </c>
      <c r="T21" s="420">
        <v>291</v>
      </c>
      <c r="U21" s="420">
        <v>151421</v>
      </c>
      <c r="V21" s="420">
        <f>_xlfn.IFNA(VLOOKUP(A21,[3]進出口值表查詢結果!$C$11:$F$68,4,0),-[4]整車!$B$22)</f>
        <v>884</v>
      </c>
      <c r="W21" s="420">
        <f>_xlfn.IFNA(VLOOKUP(A21,[3]進出口值表查詢結果!$C$11:$F$68,3,0),-[4]整車!$B$22)</f>
        <v>377477</v>
      </c>
      <c r="X21" s="420">
        <f>_xlfn.IFNA(VLOOKUP(A21,[5]進出口值表查詢結果!$C$11:$F$68,4,0),-[4]整車!$B$22)</f>
        <v>872</v>
      </c>
      <c r="Y21" s="420">
        <f>_xlfn.IFNA(VLOOKUP(A21,[5]進出口值表查詢結果!$C$11:$F$68,3,0),-[4]整車!$B$22)</f>
        <v>486108</v>
      </c>
      <c r="Z21" s="414">
        <f t="shared" si="3"/>
        <v>4766</v>
      </c>
      <c r="AA21" s="414">
        <f t="shared" si="4"/>
        <v>1901503</v>
      </c>
    </row>
    <row r="22" spans="1:27">
      <c r="A22" s="457" t="s">
        <v>236</v>
      </c>
      <c r="B22" s="420">
        <v>0</v>
      </c>
      <c r="C22" s="420">
        <v>0</v>
      </c>
      <c r="D22" s="420"/>
      <c r="E22" s="420"/>
      <c r="F22" s="420">
        <v>0</v>
      </c>
      <c r="G22" s="420"/>
      <c r="H22" s="420">
        <v>0</v>
      </c>
      <c r="I22" s="420">
        <v>0</v>
      </c>
      <c r="J22" s="421">
        <v>0</v>
      </c>
      <c r="K22" s="424" t="s">
        <v>60</v>
      </c>
      <c r="L22" s="420">
        <v>0</v>
      </c>
      <c r="M22" s="420">
        <v>0</v>
      </c>
      <c r="N22" s="420">
        <v>0</v>
      </c>
      <c r="O22" s="420">
        <v>0</v>
      </c>
      <c r="P22" s="420">
        <v>0</v>
      </c>
      <c r="Q22" s="420">
        <v>0</v>
      </c>
      <c r="R22" s="420">
        <v>0</v>
      </c>
      <c r="S22" s="420">
        <v>0</v>
      </c>
      <c r="T22" s="420"/>
      <c r="U22" s="420"/>
      <c r="V22" s="420">
        <f>_xlfn.IFNA(VLOOKUP(A22,[3]進出口值表查詢結果!$C$11:$F$68,4,0),-[4]整車!$B$22)</f>
        <v>0</v>
      </c>
      <c r="W22" s="420">
        <f>_xlfn.IFNA(VLOOKUP(A22,[3]進出口值表查詢結果!$C$11:$F$68,3,0),-[4]整車!$B$22)</f>
        <v>0</v>
      </c>
      <c r="X22" s="420">
        <f>_xlfn.IFNA(VLOOKUP(A22,[5]進出口值表查詢結果!$C$11:$F$68,4,0),-[4]整車!$B$22)</f>
        <v>0</v>
      </c>
      <c r="Y22" s="420">
        <f>_xlfn.IFNA(VLOOKUP(A22,[5]進出口值表查詢結果!$C$11:$F$68,3,0),-[4]整車!$B$22)</f>
        <v>0</v>
      </c>
      <c r="Z22" s="414">
        <f t="shared" si="3"/>
        <v>0</v>
      </c>
      <c r="AA22" s="414">
        <f t="shared" si="4"/>
        <v>0</v>
      </c>
    </row>
    <row r="23" spans="1:27">
      <c r="A23" s="457" t="s">
        <v>180</v>
      </c>
      <c r="B23" s="420">
        <v>4</v>
      </c>
      <c r="C23" s="420">
        <v>12662</v>
      </c>
      <c r="D23" s="420">
        <v>36</v>
      </c>
      <c r="E23" s="420">
        <v>33578</v>
      </c>
      <c r="F23" s="420">
        <v>0</v>
      </c>
      <c r="G23" s="420"/>
      <c r="H23" s="420">
        <v>0</v>
      </c>
      <c r="I23" s="420">
        <v>0</v>
      </c>
      <c r="J23" s="421" t="s">
        <v>60</v>
      </c>
      <c r="K23" s="424" t="s">
        <v>60</v>
      </c>
      <c r="L23" s="420">
        <v>12</v>
      </c>
      <c r="M23" s="420">
        <v>40985</v>
      </c>
      <c r="N23" s="420">
        <v>11</v>
      </c>
      <c r="O23" s="420">
        <v>18898</v>
      </c>
      <c r="P23" s="420">
        <v>15</v>
      </c>
      <c r="Q23" s="420">
        <v>18841</v>
      </c>
      <c r="R23" s="420">
        <v>0</v>
      </c>
      <c r="S23" s="420">
        <v>0</v>
      </c>
      <c r="T23" s="420">
        <v>4</v>
      </c>
      <c r="U23" s="420">
        <v>8709</v>
      </c>
      <c r="V23" s="420">
        <f>_xlfn.IFNA(VLOOKUP(A23,[3]進出口值表查詢結果!$C$11:$F$68,4,0),-[4]整車!$B$22)</f>
        <v>0</v>
      </c>
      <c r="W23" s="420">
        <f>_xlfn.IFNA(VLOOKUP(A23,[3]進出口值表查詢結果!$C$11:$F$68,3,0),-[4]整車!$B$22)</f>
        <v>0</v>
      </c>
      <c r="X23" s="420">
        <f>_xlfn.IFNA(VLOOKUP(A23,[5]進出口值表查詢結果!$C$11:$F$68,4,0),-[4]整車!$B$22)</f>
        <v>23</v>
      </c>
      <c r="Y23" s="420">
        <f>_xlfn.IFNA(VLOOKUP(A23,[5]進出口值表查詢結果!$C$11:$F$68,3,0),-[4]整車!$B$22)</f>
        <v>41742</v>
      </c>
      <c r="Z23" s="414">
        <f t="shared" si="3"/>
        <v>105</v>
      </c>
      <c r="AA23" s="414">
        <f t="shared" si="4"/>
        <v>175415</v>
      </c>
    </row>
    <row r="24" spans="1:27">
      <c r="A24" s="457" t="s">
        <v>237</v>
      </c>
      <c r="B24" s="420">
        <v>0</v>
      </c>
      <c r="C24" s="420">
        <v>0</v>
      </c>
      <c r="D24" s="420"/>
      <c r="E24" s="420"/>
      <c r="F24" s="420">
        <v>0</v>
      </c>
      <c r="G24" s="420"/>
      <c r="H24" s="420">
        <v>0</v>
      </c>
      <c r="I24" s="420">
        <v>0</v>
      </c>
      <c r="J24" s="421">
        <v>1</v>
      </c>
      <c r="K24" s="422">
        <v>2606</v>
      </c>
      <c r="L24" s="420">
        <v>0</v>
      </c>
      <c r="M24" s="414">
        <v>0</v>
      </c>
      <c r="N24" s="420">
        <v>0</v>
      </c>
      <c r="O24" s="420">
        <v>0</v>
      </c>
      <c r="P24" s="420">
        <v>0</v>
      </c>
      <c r="Q24" s="420">
        <v>0</v>
      </c>
      <c r="R24" s="420">
        <v>0</v>
      </c>
      <c r="S24" s="420">
        <v>0</v>
      </c>
      <c r="T24" s="420"/>
      <c r="U24" s="420"/>
      <c r="V24" s="420">
        <f>_xlfn.IFNA(VLOOKUP(A24,[3]進出口值表查詢結果!$C$11:$F$68,4,0),-[4]整車!$B$22)</f>
        <v>0</v>
      </c>
      <c r="W24" s="420">
        <f>_xlfn.IFNA(VLOOKUP(A24,[3]進出口值表查詢結果!$C$11:$F$68,3,0),-[4]整車!$B$22)</f>
        <v>0</v>
      </c>
      <c r="X24" s="420">
        <f>_xlfn.IFNA(VLOOKUP(A24,[5]進出口值表查詢結果!$C$11:$F$68,4,0),-[4]整車!$B$22)</f>
        <v>0</v>
      </c>
      <c r="Y24" s="420">
        <f>_xlfn.IFNA(VLOOKUP(A24,[5]進出口值表查詢結果!$C$11:$F$68,3,0),-[4]整車!$B$22)</f>
        <v>0</v>
      </c>
      <c r="Z24" s="414">
        <f t="shared" si="3"/>
        <v>1</v>
      </c>
      <c r="AA24" s="414">
        <f t="shared" si="4"/>
        <v>2606</v>
      </c>
    </row>
    <row r="25" spans="1:27">
      <c r="A25" s="457" t="s">
        <v>238</v>
      </c>
      <c r="B25" s="420">
        <v>0</v>
      </c>
      <c r="C25" s="420">
        <v>0</v>
      </c>
      <c r="D25" s="420"/>
      <c r="E25" s="420"/>
      <c r="F25" s="420">
        <v>0</v>
      </c>
      <c r="G25" s="420"/>
      <c r="H25" s="420">
        <v>0</v>
      </c>
      <c r="I25" s="420">
        <v>0</v>
      </c>
      <c r="J25" s="421" t="s">
        <v>60</v>
      </c>
      <c r="K25" s="424" t="s">
        <v>60</v>
      </c>
      <c r="L25" s="420">
        <v>0</v>
      </c>
      <c r="M25" s="420">
        <v>0</v>
      </c>
      <c r="N25" s="420">
        <v>0</v>
      </c>
      <c r="O25" s="420">
        <v>0</v>
      </c>
      <c r="P25" s="420">
        <v>0</v>
      </c>
      <c r="Q25" s="420">
        <v>0</v>
      </c>
      <c r="R25" s="420">
        <v>0</v>
      </c>
      <c r="S25" s="420">
        <v>0</v>
      </c>
      <c r="T25" s="420"/>
      <c r="U25" s="420"/>
      <c r="V25" s="420">
        <f>_xlfn.IFNA(VLOOKUP(A25,[3]進出口值表查詢結果!$C$11:$F$68,4,0),-[4]整車!$B$22)</f>
        <v>0</v>
      </c>
      <c r="W25" s="420">
        <f>_xlfn.IFNA(VLOOKUP(A25,[3]進出口值表查詢結果!$C$11:$F$68,3,0),-[4]整車!$B$22)</f>
        <v>0</v>
      </c>
      <c r="X25" s="420">
        <f>_xlfn.IFNA(VLOOKUP(A25,[5]進出口值表查詢結果!$C$11:$F$68,4,0),-[4]整車!$B$22)</f>
        <v>0</v>
      </c>
      <c r="Y25" s="420">
        <f>_xlfn.IFNA(VLOOKUP(A25,[5]進出口值表查詢結果!$C$11:$F$68,3,0),-[4]整車!$B$22)</f>
        <v>0</v>
      </c>
      <c r="Z25" s="414">
        <f t="shared" si="3"/>
        <v>0</v>
      </c>
      <c r="AA25" s="414">
        <f t="shared" si="4"/>
        <v>0</v>
      </c>
    </row>
    <row r="26" spans="1:27">
      <c r="A26" s="457" t="s">
        <v>239</v>
      </c>
      <c r="B26" s="420">
        <v>0</v>
      </c>
      <c r="C26" s="420">
        <v>0</v>
      </c>
      <c r="D26" s="420"/>
      <c r="E26" s="420"/>
      <c r="F26" s="420">
        <v>10</v>
      </c>
      <c r="G26" s="420">
        <v>9226</v>
      </c>
      <c r="H26" s="420">
        <v>0</v>
      </c>
      <c r="I26" s="420">
        <v>0</v>
      </c>
      <c r="J26" s="421" t="s">
        <v>60</v>
      </c>
      <c r="K26" s="424" t="s">
        <v>60</v>
      </c>
      <c r="L26" s="420">
        <v>2</v>
      </c>
      <c r="M26" s="420">
        <v>536</v>
      </c>
      <c r="N26" s="420">
        <v>0</v>
      </c>
      <c r="O26" s="420">
        <v>0</v>
      </c>
      <c r="P26" s="420">
        <v>34</v>
      </c>
      <c r="Q26" s="420">
        <v>17452</v>
      </c>
      <c r="R26" s="420">
        <v>0</v>
      </c>
      <c r="S26" s="420">
        <v>0</v>
      </c>
      <c r="T26" s="420">
        <v>10</v>
      </c>
      <c r="U26" s="420">
        <v>9501</v>
      </c>
      <c r="V26" s="420">
        <f>_xlfn.IFNA(VLOOKUP(A26,[3]進出口值表查詢結果!$C$11:$F$68,4,0),-[4]整車!$B$22)</f>
        <v>0</v>
      </c>
      <c r="W26" s="420">
        <f>_xlfn.IFNA(VLOOKUP(A26,[3]進出口值表查詢結果!$C$11:$F$68,3,0),-[4]整車!$B$22)</f>
        <v>0</v>
      </c>
      <c r="X26" s="420">
        <f>_xlfn.IFNA(VLOOKUP(A26,[5]進出口值表查詢結果!$C$11:$F$68,4,0),-[4]整車!$B$22)</f>
        <v>0</v>
      </c>
      <c r="Y26" s="420">
        <f>_xlfn.IFNA(VLOOKUP(A26,[5]進出口值表查詢結果!$C$11:$F$68,3,0),-[4]整車!$B$22)</f>
        <v>0</v>
      </c>
      <c r="Z26" s="414">
        <f t="shared" si="3"/>
        <v>56</v>
      </c>
      <c r="AA26" s="414">
        <f t="shared" si="4"/>
        <v>36715</v>
      </c>
    </row>
    <row r="27" spans="1:27">
      <c r="A27" s="457" t="s">
        <v>199</v>
      </c>
      <c r="B27" s="420">
        <v>12</v>
      </c>
      <c r="C27" s="420">
        <v>11363</v>
      </c>
      <c r="D27" s="420">
        <v>156</v>
      </c>
      <c r="E27" s="420">
        <v>136343</v>
      </c>
      <c r="F27" s="420">
        <v>53</v>
      </c>
      <c r="G27" s="420">
        <v>48024</v>
      </c>
      <c r="H27" s="420">
        <v>0</v>
      </c>
      <c r="I27" s="420">
        <v>0</v>
      </c>
      <c r="J27" s="421">
        <v>62</v>
      </c>
      <c r="K27" s="422">
        <v>51087</v>
      </c>
      <c r="L27" s="420">
        <v>0</v>
      </c>
      <c r="M27" s="420">
        <v>0</v>
      </c>
      <c r="N27" s="420">
        <v>53</v>
      </c>
      <c r="O27" s="420">
        <v>53415</v>
      </c>
      <c r="P27" s="420">
        <v>125</v>
      </c>
      <c r="Q27" s="420">
        <v>148830</v>
      </c>
      <c r="R27" s="420">
        <v>20</v>
      </c>
      <c r="S27" s="420">
        <v>19056</v>
      </c>
      <c r="T27" s="420">
        <v>26</v>
      </c>
      <c r="U27" s="420">
        <v>35077</v>
      </c>
      <c r="V27" s="420">
        <f>_xlfn.IFNA(VLOOKUP(A27,[3]進出口值表查詢結果!$C$11:$F$68,4,0),-[4]整車!$B$22)</f>
        <v>6</v>
      </c>
      <c r="W27" s="420">
        <f>_xlfn.IFNA(VLOOKUP(A27,[3]進出口值表查詢結果!$C$11:$F$68,3,0),-[4]整車!$B$22)</f>
        <v>6932</v>
      </c>
      <c r="X27" s="420">
        <f>_xlfn.IFNA(VLOOKUP(A27,[5]進出口值表查詢結果!$C$11:$F$68,4,0),-[4]整車!$B$22)</f>
        <v>211</v>
      </c>
      <c r="Y27" s="420">
        <f>_xlfn.IFNA(VLOOKUP(A27,[5]進出口值表查詢結果!$C$11:$F$68,3,0),-[4]整車!$B$22)</f>
        <v>156683</v>
      </c>
      <c r="Z27" s="414">
        <f t="shared" si="3"/>
        <v>724</v>
      </c>
      <c r="AA27" s="414">
        <f t="shared" si="4"/>
        <v>666810</v>
      </c>
    </row>
    <row r="28" spans="1:27">
      <c r="A28" s="457" t="s">
        <v>240</v>
      </c>
      <c r="B28" s="420">
        <v>0</v>
      </c>
      <c r="C28" s="420">
        <v>0</v>
      </c>
      <c r="D28" s="420"/>
      <c r="E28" s="420"/>
      <c r="F28" s="420">
        <v>0</v>
      </c>
      <c r="G28" s="420"/>
      <c r="H28" s="420">
        <v>0</v>
      </c>
      <c r="I28" s="420">
        <v>0</v>
      </c>
      <c r="J28" s="421" t="s">
        <v>60</v>
      </c>
      <c r="K28" s="424" t="s">
        <v>60</v>
      </c>
      <c r="L28" s="420">
        <v>0</v>
      </c>
      <c r="M28" s="420">
        <v>0</v>
      </c>
      <c r="N28" s="420">
        <v>0</v>
      </c>
      <c r="O28" s="420">
        <v>0</v>
      </c>
      <c r="P28" s="420">
        <v>0</v>
      </c>
      <c r="Q28" s="420">
        <v>0</v>
      </c>
      <c r="R28" s="420">
        <v>0</v>
      </c>
      <c r="S28" s="420">
        <v>0</v>
      </c>
      <c r="T28" s="420"/>
      <c r="U28" s="420"/>
      <c r="V28" s="420">
        <f>_xlfn.IFNA(VLOOKUP(A28,[3]進出口值表查詢結果!$C$11:$F$68,4,0),-[4]整車!$B$22)</f>
        <v>0</v>
      </c>
      <c r="W28" s="420">
        <f>_xlfn.IFNA(VLOOKUP(A28,[3]進出口值表查詢結果!$C$11:$F$68,3,0),-[4]整車!$B$22)</f>
        <v>0</v>
      </c>
      <c r="X28" s="420">
        <f>_xlfn.IFNA(VLOOKUP(A28,[5]進出口值表查詢結果!$C$11:$F$68,4,0),-[4]整車!$B$22)</f>
        <v>0</v>
      </c>
      <c r="Y28" s="420">
        <f>_xlfn.IFNA(VLOOKUP(A28,[5]進出口值表查詢結果!$C$11:$F$68,3,0),-[4]整車!$B$22)</f>
        <v>0</v>
      </c>
      <c r="Z28" s="414">
        <f t="shared" si="3"/>
        <v>0</v>
      </c>
      <c r="AA28" s="414">
        <f t="shared" si="4"/>
        <v>0</v>
      </c>
    </row>
    <row r="29" spans="1:27">
      <c r="A29" s="457" t="s">
        <v>169</v>
      </c>
      <c r="B29" s="420">
        <v>832</v>
      </c>
      <c r="C29" s="420">
        <v>601299</v>
      </c>
      <c r="D29" s="420">
        <v>1474</v>
      </c>
      <c r="E29" s="420">
        <v>1335375</v>
      </c>
      <c r="F29" s="420">
        <v>2575</v>
      </c>
      <c r="G29" s="420">
        <v>2824860</v>
      </c>
      <c r="H29" s="420">
        <v>1590</v>
      </c>
      <c r="I29" s="420">
        <v>2035410</v>
      </c>
      <c r="J29" s="421">
        <v>1368</v>
      </c>
      <c r="K29" s="424">
        <v>1650049</v>
      </c>
      <c r="L29" s="420">
        <v>3338</v>
      </c>
      <c r="M29" s="420">
        <v>3123497</v>
      </c>
      <c r="N29" s="420">
        <v>2847</v>
      </c>
      <c r="O29" s="420">
        <v>2378126</v>
      </c>
      <c r="P29" s="420">
        <v>2606</v>
      </c>
      <c r="Q29" s="420">
        <v>3061333</v>
      </c>
      <c r="R29" s="420">
        <v>1944</v>
      </c>
      <c r="S29" s="420">
        <v>1677516</v>
      </c>
      <c r="T29" s="420">
        <v>2095</v>
      </c>
      <c r="U29" s="420">
        <v>2093220</v>
      </c>
      <c r="V29" s="420">
        <f>_xlfn.IFNA(VLOOKUP(A29,[3]進出口值表查詢結果!$C$11:$F$68,4,0),-[4]整車!$B$22)</f>
        <v>2168</v>
      </c>
      <c r="W29" s="420">
        <f>_xlfn.IFNA(VLOOKUP(A29,[3]進出口值表查詢結果!$C$11:$F$68,3,0),-[4]整車!$B$22)</f>
        <v>2387001</v>
      </c>
      <c r="X29" s="420">
        <f>_xlfn.IFNA(VLOOKUP(A29,[5]進出口值表查詢結果!$C$11:$F$68,4,0),-[4]整車!$B$22)</f>
        <v>3104</v>
      </c>
      <c r="Y29" s="420">
        <f>_xlfn.IFNA(VLOOKUP(A29,[5]進出口值表查詢結果!$C$11:$F$68,3,0),-[4]整車!$B$22)</f>
        <v>3401926</v>
      </c>
      <c r="Z29" s="414">
        <f t="shared" si="3"/>
        <v>25941</v>
      </c>
      <c r="AA29" s="414">
        <f t="shared" si="4"/>
        <v>26569612</v>
      </c>
    </row>
    <row r="30" spans="1:27">
      <c r="A30" s="459" t="s">
        <v>242</v>
      </c>
      <c r="B30" s="414">
        <v>0</v>
      </c>
      <c r="C30" s="414">
        <v>0</v>
      </c>
      <c r="D30" s="414"/>
      <c r="E30" s="414"/>
      <c r="F30" s="414">
        <v>0</v>
      </c>
      <c r="G30" s="414"/>
      <c r="H30" s="414">
        <v>0</v>
      </c>
      <c r="I30" s="414">
        <v>0</v>
      </c>
      <c r="J30" s="407" t="s">
        <v>60</v>
      </c>
      <c r="K30" s="424" t="s">
        <v>60</v>
      </c>
      <c r="L30" s="414">
        <v>0</v>
      </c>
      <c r="M30" s="414">
        <v>0</v>
      </c>
      <c r="N30" s="414">
        <v>0</v>
      </c>
      <c r="O30" s="414">
        <v>0</v>
      </c>
      <c r="P30" s="414">
        <v>0</v>
      </c>
      <c r="Q30" s="414">
        <v>0</v>
      </c>
      <c r="R30" s="414">
        <v>0</v>
      </c>
      <c r="S30" s="414">
        <v>0</v>
      </c>
      <c r="T30" s="414"/>
      <c r="U30" s="414"/>
      <c r="V30" s="420">
        <f>_xlfn.IFNA(VLOOKUP(A30,[3]進出口值表查詢結果!$C$11:$F$68,4,0),-[4]整車!$B$22)</f>
        <v>0</v>
      </c>
      <c r="W30" s="420">
        <f>_xlfn.IFNA(VLOOKUP(A30,[3]進出口值表查詢結果!$C$11:$F$68,3,0),-[4]整車!$B$22)</f>
        <v>0</v>
      </c>
      <c r="X30" s="420">
        <f>_xlfn.IFNA(VLOOKUP(A30,[5]進出口值表查詢結果!$C$11:$F$68,4,0),-[4]整車!$B$22)</f>
        <v>0</v>
      </c>
      <c r="Y30" s="420">
        <f>_xlfn.IFNA(VLOOKUP(A30,[5]進出口值表查詢結果!$C$11:$F$68,3,0),-[4]整車!$B$22)</f>
        <v>0</v>
      </c>
      <c r="Z30" s="414">
        <f t="shared" si="3"/>
        <v>0</v>
      </c>
      <c r="AA30" s="414">
        <f t="shared" si="4"/>
        <v>0</v>
      </c>
    </row>
    <row r="31" spans="1:27">
      <c r="A31" s="457" t="s">
        <v>243</v>
      </c>
      <c r="B31" s="414">
        <v>0</v>
      </c>
      <c r="C31" s="414">
        <v>0</v>
      </c>
      <c r="D31" s="420"/>
      <c r="E31" s="420"/>
      <c r="F31" s="420">
        <v>0</v>
      </c>
      <c r="G31" s="420"/>
      <c r="H31" s="420">
        <v>0</v>
      </c>
      <c r="I31" s="420">
        <v>0</v>
      </c>
      <c r="J31" s="421"/>
      <c r="K31" s="424" t="s">
        <v>60</v>
      </c>
      <c r="L31" s="420">
        <v>0</v>
      </c>
      <c r="M31" s="420">
        <v>0</v>
      </c>
      <c r="N31" s="420">
        <v>0</v>
      </c>
      <c r="O31" s="420">
        <v>0</v>
      </c>
      <c r="P31" s="414">
        <v>0</v>
      </c>
      <c r="Q31" s="414">
        <v>0</v>
      </c>
      <c r="R31" s="414">
        <v>0</v>
      </c>
      <c r="S31" s="414">
        <v>0</v>
      </c>
      <c r="T31" s="420"/>
      <c r="U31" s="420"/>
      <c r="V31" s="420">
        <f>_xlfn.IFNA(VLOOKUP(A31,[3]進出口值表查詢結果!$C$11:$F$68,4,0),-[4]整車!$B$22)</f>
        <v>0</v>
      </c>
      <c r="W31" s="420">
        <f>_xlfn.IFNA(VLOOKUP(A31,[3]進出口值表查詢結果!$C$11:$F$68,3,0),-[4]整車!$B$22)</f>
        <v>0</v>
      </c>
      <c r="X31" s="420">
        <f>_xlfn.IFNA(VLOOKUP(A31,[5]進出口值表查詢結果!$C$11:$F$68,4,0),-[4]整車!$B$22)</f>
        <v>0</v>
      </c>
      <c r="Y31" s="420">
        <f>_xlfn.IFNA(VLOOKUP(A31,[5]進出口值表查詢結果!$C$11:$F$68,3,0),-[4]整車!$B$22)</f>
        <v>0</v>
      </c>
      <c r="Z31" s="414">
        <f t="shared" si="3"/>
        <v>0</v>
      </c>
      <c r="AA31" s="414">
        <f t="shared" si="4"/>
        <v>0</v>
      </c>
    </row>
    <row r="32" spans="1:27">
      <c r="A32" s="457" t="s">
        <v>244</v>
      </c>
      <c r="B32" s="414">
        <v>0</v>
      </c>
      <c r="C32" s="414">
        <v>0</v>
      </c>
      <c r="D32" s="420"/>
      <c r="E32" s="420"/>
      <c r="F32" s="420">
        <v>0</v>
      </c>
      <c r="G32" s="420"/>
      <c r="H32" s="420">
        <v>2</v>
      </c>
      <c r="I32" s="420">
        <v>3147</v>
      </c>
      <c r="J32" s="421" t="s">
        <v>60</v>
      </c>
      <c r="K32" s="424" t="s">
        <v>60</v>
      </c>
      <c r="L32" s="420">
        <v>0</v>
      </c>
      <c r="M32" s="420">
        <v>0</v>
      </c>
      <c r="N32" s="420">
        <v>9</v>
      </c>
      <c r="O32" s="420">
        <v>14807</v>
      </c>
      <c r="P32" s="414">
        <v>0</v>
      </c>
      <c r="Q32" s="414">
        <v>0</v>
      </c>
      <c r="R32" s="414">
        <v>0</v>
      </c>
      <c r="S32" s="414">
        <v>0</v>
      </c>
      <c r="T32" s="420"/>
      <c r="U32" s="420"/>
      <c r="V32" s="420">
        <f>_xlfn.IFNA(VLOOKUP(A32,[3]進出口值表查詢結果!$C$11:$F$68,4,0),-[4]整車!$B$22)</f>
        <v>0</v>
      </c>
      <c r="W32" s="420">
        <f>_xlfn.IFNA(VLOOKUP(A32,[3]進出口值表查詢結果!$C$11:$F$68,3,0),-[4]整車!$B$22)</f>
        <v>0</v>
      </c>
      <c r="X32" s="420">
        <f>_xlfn.IFNA(VLOOKUP(A32,[5]進出口值表查詢結果!$C$11:$F$68,4,0),-[4]整車!$B$22)</f>
        <v>12</v>
      </c>
      <c r="Y32" s="420">
        <f>_xlfn.IFNA(VLOOKUP(A32,[5]進出口值表查詢結果!$C$11:$F$68,3,0),-[4]整車!$B$22)</f>
        <v>16410</v>
      </c>
      <c r="Z32" s="414">
        <f t="shared" si="3"/>
        <v>23</v>
      </c>
      <c r="AA32" s="414">
        <f t="shared" si="4"/>
        <v>34364</v>
      </c>
    </row>
    <row r="33" spans="1:27">
      <c r="A33" s="457" t="s">
        <v>245</v>
      </c>
      <c r="B33" s="414">
        <v>0</v>
      </c>
      <c r="C33" s="414">
        <v>0</v>
      </c>
      <c r="D33" s="420">
        <v>65</v>
      </c>
      <c r="E33" s="420">
        <v>100633</v>
      </c>
      <c r="F33" s="414">
        <v>430</v>
      </c>
      <c r="G33" s="420">
        <v>75772</v>
      </c>
      <c r="H33" s="420">
        <v>89</v>
      </c>
      <c r="I33" s="420">
        <v>94535</v>
      </c>
      <c r="J33" s="421" t="s">
        <v>60</v>
      </c>
      <c r="K33" s="424" t="s">
        <v>60</v>
      </c>
      <c r="L33" s="420">
        <v>0</v>
      </c>
      <c r="M33" s="420">
        <v>0</v>
      </c>
      <c r="N33" s="420">
        <v>0</v>
      </c>
      <c r="O33" s="420">
        <v>0</v>
      </c>
      <c r="P33" s="414">
        <v>0</v>
      </c>
      <c r="Q33" s="414">
        <v>0</v>
      </c>
      <c r="R33" s="414">
        <v>0</v>
      </c>
      <c r="S33" s="414">
        <v>0</v>
      </c>
      <c r="T33" s="420"/>
      <c r="U33" s="420"/>
      <c r="V33" s="420">
        <f>_xlfn.IFNA(VLOOKUP(A33,[3]進出口值表查詢結果!$C$11:$F$68,4,0),-[4]整車!$B$22)</f>
        <v>0</v>
      </c>
      <c r="W33" s="420">
        <f>_xlfn.IFNA(VLOOKUP(A33,[3]進出口值表查詢結果!$C$11:$F$68,3,0),-[4]整車!$B$22)</f>
        <v>0</v>
      </c>
      <c r="X33" s="420">
        <f>_xlfn.IFNA(VLOOKUP(A33,[5]進出口值表查詢結果!$C$11:$F$68,4,0),-[4]整車!$B$22)</f>
        <v>36</v>
      </c>
      <c r="Y33" s="420">
        <f>_xlfn.IFNA(VLOOKUP(A33,[5]進出口值表查詢結果!$C$11:$F$68,3,0),-[4]整車!$B$22)</f>
        <v>41708</v>
      </c>
      <c r="Z33" s="420">
        <f t="shared" si="3"/>
        <v>620</v>
      </c>
      <c r="AA33" s="420">
        <f t="shared" si="4"/>
        <v>312648</v>
      </c>
    </row>
    <row r="34" spans="1:27">
      <c r="A34" s="457" t="s">
        <v>246</v>
      </c>
      <c r="B34" s="414">
        <v>0</v>
      </c>
      <c r="C34" s="414">
        <v>0</v>
      </c>
      <c r="D34" s="420"/>
      <c r="E34" s="420"/>
      <c r="F34" s="420">
        <v>0</v>
      </c>
      <c r="G34" s="420"/>
      <c r="H34" s="420">
        <v>0</v>
      </c>
      <c r="I34" s="420">
        <v>0</v>
      </c>
      <c r="J34" s="421" t="s">
        <v>60</v>
      </c>
      <c r="K34" s="424" t="s">
        <v>60</v>
      </c>
      <c r="L34" s="420">
        <v>200</v>
      </c>
      <c r="M34" s="420">
        <v>26608</v>
      </c>
      <c r="N34" s="420">
        <v>0</v>
      </c>
      <c r="O34" s="420">
        <v>0</v>
      </c>
      <c r="P34" s="414">
        <v>0</v>
      </c>
      <c r="Q34" s="414">
        <v>0</v>
      </c>
      <c r="R34" s="414">
        <v>0</v>
      </c>
      <c r="S34" s="414">
        <v>0</v>
      </c>
      <c r="T34" s="420"/>
      <c r="U34" s="420"/>
      <c r="V34" s="420">
        <f>_xlfn.IFNA(VLOOKUP(A34,[3]進出口值表查詢結果!$C$11:$F$68,4,0),-[4]整車!$B$22)</f>
        <v>0</v>
      </c>
      <c r="W34" s="420">
        <f>_xlfn.IFNA(VLOOKUP(A34,[3]進出口值表查詢結果!$C$11:$F$68,3,0),-[4]整車!$B$22)</f>
        <v>0</v>
      </c>
      <c r="X34" s="420">
        <f>_xlfn.IFNA(VLOOKUP(A34,[5]進出口值表查詢結果!$C$11:$F$68,4,0),-[4]整車!$B$22)</f>
        <v>0</v>
      </c>
      <c r="Y34" s="420">
        <f>_xlfn.IFNA(VLOOKUP(A34,[5]進出口值表查詢結果!$C$11:$F$68,3,0),-[4]整車!$B$22)</f>
        <v>0</v>
      </c>
      <c r="Z34" s="420">
        <f t="shared" si="3"/>
        <v>200</v>
      </c>
      <c r="AA34" s="420">
        <f t="shared" si="4"/>
        <v>26608</v>
      </c>
    </row>
    <row r="35" spans="1:27">
      <c r="A35" s="413"/>
      <c r="B35" s="414"/>
      <c r="C35" s="414"/>
      <c r="D35" s="414"/>
      <c r="E35" s="414"/>
      <c r="F35" s="414"/>
      <c r="G35" s="414"/>
      <c r="H35" s="414"/>
      <c r="I35" s="414"/>
      <c r="J35" s="407"/>
      <c r="K35" s="408"/>
      <c r="L35" s="414"/>
      <c r="M35" s="414"/>
      <c r="N35" s="414"/>
      <c r="O35" s="414"/>
      <c r="P35" s="414"/>
      <c r="Q35" s="414"/>
      <c r="R35" s="414"/>
      <c r="S35" s="414"/>
      <c r="T35" s="414"/>
      <c r="U35" s="414"/>
      <c r="V35" s="414"/>
      <c r="W35" s="414"/>
      <c r="X35" s="414"/>
      <c r="Y35" s="414"/>
      <c r="Z35" s="414"/>
      <c r="AA35" s="414"/>
    </row>
    <row r="36" spans="1:27">
      <c r="A36" s="426" t="s">
        <v>142</v>
      </c>
      <c r="B36" s="427">
        <f t="shared" ref="B36:Y36" si="5">B38+B68+B75</f>
        <v>79424</v>
      </c>
      <c r="C36" s="427">
        <f t="shared" si="5"/>
        <v>35612604</v>
      </c>
      <c r="D36" s="427">
        <f t="shared" si="5"/>
        <v>64213</v>
      </c>
      <c r="E36" s="427">
        <f t="shared" si="5"/>
        <v>30491608</v>
      </c>
      <c r="F36" s="427">
        <f t="shared" si="5"/>
        <v>54696</v>
      </c>
      <c r="G36" s="427">
        <f t="shared" si="5"/>
        <v>29542744</v>
      </c>
      <c r="H36" s="427">
        <f t="shared" si="5"/>
        <v>39009</v>
      </c>
      <c r="I36" s="427">
        <f t="shared" si="5"/>
        <v>19973565</v>
      </c>
      <c r="J36" s="428">
        <f t="shared" si="5"/>
        <v>44931</v>
      </c>
      <c r="K36" s="429">
        <f>K38+K68+K75</f>
        <v>28357229</v>
      </c>
      <c r="L36" s="427">
        <f t="shared" si="5"/>
        <v>51038</v>
      </c>
      <c r="M36" s="427">
        <f t="shared" si="5"/>
        <v>32305965</v>
      </c>
      <c r="N36" s="427">
        <f t="shared" si="5"/>
        <v>44856</v>
      </c>
      <c r="O36" s="427">
        <f t="shared" si="5"/>
        <v>35121669</v>
      </c>
      <c r="P36" s="427">
        <f t="shared" si="5"/>
        <v>69496</v>
      </c>
      <c r="Q36" s="427">
        <f t="shared" si="5"/>
        <v>46505146</v>
      </c>
      <c r="R36" s="427">
        <f t="shared" si="5"/>
        <v>46124</v>
      </c>
      <c r="S36" s="427">
        <f t="shared" si="5"/>
        <v>32297052</v>
      </c>
      <c r="T36" s="427">
        <f t="shared" si="5"/>
        <v>63488</v>
      </c>
      <c r="U36" s="427">
        <f t="shared" si="5"/>
        <v>38464858</v>
      </c>
      <c r="V36" s="427">
        <f>V38+V68+V75</f>
        <v>52331</v>
      </c>
      <c r="W36" s="427">
        <f>W38+W68+W75</f>
        <v>31078138</v>
      </c>
      <c r="X36" s="427">
        <f t="shared" si="5"/>
        <v>64845</v>
      </c>
      <c r="Y36" s="427">
        <f t="shared" si="5"/>
        <v>39655701</v>
      </c>
      <c r="Z36" s="427">
        <f>SUM(B36,D36,F36,H36,J36,L36,N36,P36,R36,T36,V36,X36)</f>
        <v>674451</v>
      </c>
      <c r="AA36" s="427">
        <f>SUM(C36,E36,G36,I36,K36,M36,O36,Q36,S36,U36,W36,Y36)</f>
        <v>399406279</v>
      </c>
    </row>
    <row r="37" spans="1:27">
      <c r="A37" s="413"/>
      <c r="B37" s="414"/>
      <c r="C37" s="414"/>
      <c r="D37" s="414"/>
      <c r="E37" s="414"/>
      <c r="F37" s="414"/>
      <c r="G37" s="414"/>
      <c r="H37" s="414"/>
      <c r="I37" s="414"/>
      <c r="J37" s="407"/>
      <c r="K37" s="408"/>
      <c r="L37" s="414"/>
      <c r="M37" s="414"/>
      <c r="N37" s="414"/>
      <c r="O37" s="414"/>
      <c r="P37" s="414"/>
      <c r="Q37" s="414"/>
      <c r="R37" s="414"/>
      <c r="S37" s="414"/>
      <c r="T37" s="414"/>
      <c r="U37" s="414"/>
      <c r="V37" s="414"/>
      <c r="W37" s="414"/>
      <c r="X37" s="414"/>
      <c r="Y37" s="414"/>
      <c r="Z37" s="414"/>
      <c r="AA37" s="414"/>
    </row>
    <row r="38" spans="1:27">
      <c r="A38" s="430" t="s">
        <v>9</v>
      </c>
      <c r="B38" s="431">
        <f t="shared" ref="B38:Y38" si="6">SUM(B39:B66)</f>
        <v>71602</v>
      </c>
      <c r="C38" s="431">
        <f t="shared" si="6"/>
        <v>31042061</v>
      </c>
      <c r="D38" s="431">
        <f t="shared" si="6"/>
        <v>57938</v>
      </c>
      <c r="E38" s="431">
        <f t="shared" si="6"/>
        <v>27066923</v>
      </c>
      <c r="F38" s="431">
        <f t="shared" si="6"/>
        <v>50036</v>
      </c>
      <c r="G38" s="431">
        <f t="shared" si="6"/>
        <v>26756451</v>
      </c>
      <c r="H38" s="431">
        <f t="shared" si="6"/>
        <v>35898</v>
      </c>
      <c r="I38" s="431">
        <f t="shared" si="6"/>
        <v>18239616</v>
      </c>
      <c r="J38" s="432">
        <f t="shared" si="6"/>
        <v>42641</v>
      </c>
      <c r="K38" s="433">
        <f>SUM(K39:K66)</f>
        <v>26690377</v>
      </c>
      <c r="L38" s="431">
        <f t="shared" si="6"/>
        <v>48143</v>
      </c>
      <c r="M38" s="431">
        <f t="shared" si="6"/>
        <v>30331535</v>
      </c>
      <c r="N38" s="431">
        <f t="shared" si="6"/>
        <v>41659</v>
      </c>
      <c r="O38" s="431">
        <f t="shared" si="6"/>
        <v>32356018</v>
      </c>
      <c r="P38" s="431">
        <f t="shared" si="6"/>
        <v>67372</v>
      </c>
      <c r="Q38" s="431">
        <f t="shared" si="6"/>
        <v>44304841</v>
      </c>
      <c r="R38" s="431">
        <f t="shared" si="6"/>
        <v>44242</v>
      </c>
      <c r="S38" s="431">
        <f t="shared" si="6"/>
        <v>30263800</v>
      </c>
      <c r="T38" s="431">
        <f t="shared" si="6"/>
        <v>58319</v>
      </c>
      <c r="U38" s="431">
        <f t="shared" si="6"/>
        <v>35452809</v>
      </c>
      <c r="V38" s="431">
        <f>SUM(V39:V66)</f>
        <v>49253</v>
      </c>
      <c r="W38" s="431">
        <f>SUM(W39:W66)</f>
        <v>28348880</v>
      </c>
      <c r="X38" s="431">
        <f t="shared" si="6"/>
        <v>58138</v>
      </c>
      <c r="Y38" s="431">
        <f t="shared" si="6"/>
        <v>33913506</v>
      </c>
      <c r="Z38" s="431">
        <f t="shared" ref="Z38:Z66" si="7">SUM(B38,D38,F38,H38,J38,L38,N38,P38,R38,T38,V38,X38)</f>
        <v>625241</v>
      </c>
      <c r="AA38" s="431">
        <f t="shared" ref="AA38:AA66" si="8">SUM(C38,E38,G38,I38,K38,M38,O38,Q38,S38,U38,W38,Y38)</f>
        <v>364766817</v>
      </c>
    </row>
    <row r="39" spans="1:27">
      <c r="A39" s="457" t="s">
        <v>162</v>
      </c>
      <c r="B39" s="420">
        <v>9455</v>
      </c>
      <c r="C39" s="420">
        <v>8098805</v>
      </c>
      <c r="D39" s="420">
        <v>5899</v>
      </c>
      <c r="E39" s="420">
        <v>4489009</v>
      </c>
      <c r="F39" s="420">
        <v>11184</v>
      </c>
      <c r="G39" s="420">
        <v>11101791</v>
      </c>
      <c r="H39" s="420">
        <v>7475</v>
      </c>
      <c r="I39" s="420">
        <v>8873601</v>
      </c>
      <c r="J39" s="421">
        <v>12869</v>
      </c>
      <c r="K39" s="422">
        <v>13913534</v>
      </c>
      <c r="L39" s="420">
        <v>14682</v>
      </c>
      <c r="M39" s="420">
        <v>14178313</v>
      </c>
      <c r="N39" s="420">
        <v>14082</v>
      </c>
      <c r="O39" s="420">
        <v>14946790</v>
      </c>
      <c r="P39" s="420">
        <v>17288</v>
      </c>
      <c r="Q39" s="420">
        <v>20932370</v>
      </c>
      <c r="R39" s="420">
        <v>13841</v>
      </c>
      <c r="S39" s="420">
        <v>14623372</v>
      </c>
      <c r="T39" s="420">
        <v>14781</v>
      </c>
      <c r="U39" s="420">
        <v>14961515</v>
      </c>
      <c r="V39" s="420">
        <f>_xlfn.IFNA(VLOOKUP(A39,[3]進出口值表查詢結果!$C$11:$F$68,4,0),-[4]整車!$B$22)</f>
        <v>14525</v>
      </c>
      <c r="W39" s="420">
        <f>_xlfn.IFNA(VLOOKUP(A39,[3]進出口值表查詢結果!$C$11:$F$68,3,0),-[4]整車!$B$22)</f>
        <v>13590883</v>
      </c>
      <c r="X39" s="420">
        <f>_xlfn.IFNA(VLOOKUP(A39,[5]進出口值表查詢結果!$C$11:$F$68,4,0),-[4]整車!$B$22)</f>
        <v>15792</v>
      </c>
      <c r="Y39" s="420">
        <f>_xlfn.IFNA(VLOOKUP(A39,[5]進出口值表查詢結果!$C$11:$F$68,3,0),-[4]整車!$B$22)</f>
        <v>15201155</v>
      </c>
      <c r="Z39" s="414">
        <f t="shared" si="7"/>
        <v>151873</v>
      </c>
      <c r="AA39" s="414">
        <f t="shared" si="8"/>
        <v>154911138</v>
      </c>
    </row>
    <row r="40" spans="1:27">
      <c r="A40" s="457" t="s">
        <v>165</v>
      </c>
      <c r="B40" s="420">
        <v>6408</v>
      </c>
      <c r="C40" s="420">
        <v>3502900</v>
      </c>
      <c r="D40" s="420">
        <v>12057</v>
      </c>
      <c r="E40" s="420">
        <v>3128315</v>
      </c>
      <c r="F40" s="420">
        <v>8271</v>
      </c>
      <c r="G40" s="420">
        <v>2563956</v>
      </c>
      <c r="H40" s="420">
        <v>4864</v>
      </c>
      <c r="I40" s="420">
        <v>1321695</v>
      </c>
      <c r="J40" s="421">
        <v>2458</v>
      </c>
      <c r="K40" s="422">
        <v>672571</v>
      </c>
      <c r="L40" s="420">
        <v>2556</v>
      </c>
      <c r="M40" s="420">
        <v>1168366</v>
      </c>
      <c r="N40" s="420">
        <v>4316</v>
      </c>
      <c r="O40" s="420">
        <v>1533943</v>
      </c>
      <c r="P40" s="420">
        <v>4965</v>
      </c>
      <c r="Q40" s="420">
        <v>2104096</v>
      </c>
      <c r="R40" s="420">
        <v>3366</v>
      </c>
      <c r="S40" s="420">
        <v>1847351</v>
      </c>
      <c r="T40" s="420">
        <v>3654</v>
      </c>
      <c r="U40" s="420">
        <v>1456075</v>
      </c>
      <c r="V40" s="420">
        <f>_xlfn.IFNA(VLOOKUP(A40,[3]進出口值表查詢結果!$C$11:$F$68,4,0),-[4]整車!$B$22)</f>
        <v>5797</v>
      </c>
      <c r="W40" s="420">
        <f>_xlfn.IFNA(VLOOKUP(A40,[3]進出口值表查詢結果!$C$11:$F$68,3,0),-[4]整車!$B$22)</f>
        <v>1411961</v>
      </c>
      <c r="X40" s="420">
        <f>_xlfn.IFNA(VLOOKUP(A40,[5]進出口值表查詢結果!$C$11:$F$68,4,0),-[4]整車!$B$22)</f>
        <v>5920</v>
      </c>
      <c r="Y40" s="420">
        <f>_xlfn.IFNA(VLOOKUP(A40,[5]進出口值表查詢結果!$C$11:$F$68,3,0),-[4]整車!$B$22)</f>
        <v>1991602</v>
      </c>
      <c r="Z40" s="414">
        <f t="shared" si="7"/>
        <v>64632</v>
      </c>
      <c r="AA40" s="414">
        <f t="shared" si="8"/>
        <v>22702831</v>
      </c>
    </row>
    <row r="41" spans="1:27">
      <c r="A41" s="457" t="s">
        <v>179</v>
      </c>
      <c r="B41" s="420">
        <v>1316</v>
      </c>
      <c r="C41" s="420">
        <v>717427</v>
      </c>
      <c r="D41" s="420">
        <v>911</v>
      </c>
      <c r="E41" s="420">
        <v>709326</v>
      </c>
      <c r="F41" s="420">
        <v>1777</v>
      </c>
      <c r="G41" s="420">
        <v>1217722</v>
      </c>
      <c r="H41" s="420">
        <v>547</v>
      </c>
      <c r="I41" s="420">
        <v>1236471</v>
      </c>
      <c r="J41" s="421">
        <v>504</v>
      </c>
      <c r="K41" s="422">
        <v>997393</v>
      </c>
      <c r="L41" s="420">
        <v>1828</v>
      </c>
      <c r="M41" s="420">
        <v>1782072</v>
      </c>
      <c r="N41" s="420">
        <v>858</v>
      </c>
      <c r="O41" s="420">
        <v>1473021</v>
      </c>
      <c r="P41" s="420">
        <v>1248</v>
      </c>
      <c r="Q41" s="420">
        <v>1567705</v>
      </c>
      <c r="R41" s="420">
        <v>1489</v>
      </c>
      <c r="S41" s="420">
        <v>1445890</v>
      </c>
      <c r="T41" s="420">
        <v>1319</v>
      </c>
      <c r="U41" s="420">
        <v>1108193</v>
      </c>
      <c r="V41" s="420">
        <f>_xlfn.IFNA(VLOOKUP(A41,[3]進出口值表查詢結果!$C$11:$F$68,4,0),-[4]整車!$B$22)</f>
        <v>1769</v>
      </c>
      <c r="W41" s="420">
        <f>_xlfn.IFNA(VLOOKUP(A41,[3]進出口值表查詢結果!$C$11:$F$68,3,0),-[4]整車!$B$22)</f>
        <v>798510</v>
      </c>
      <c r="X41" s="420">
        <f>_xlfn.IFNA(VLOOKUP(A41,[5]進出口值表查詢結果!$C$11:$F$68,4,0),-[4]整車!$B$22)</f>
        <v>2665</v>
      </c>
      <c r="Y41" s="420">
        <f>_xlfn.IFNA(VLOOKUP(A41,[5]進出口值表查詢結果!$C$11:$F$68,3,0),-[4]整車!$B$22)</f>
        <v>1213680</v>
      </c>
      <c r="Z41" s="414">
        <f t="shared" si="7"/>
        <v>16231</v>
      </c>
      <c r="AA41" s="414">
        <f t="shared" si="8"/>
        <v>14267410</v>
      </c>
    </row>
    <row r="42" spans="1:27">
      <c r="A42" s="457" t="s">
        <v>163</v>
      </c>
      <c r="B42" s="420">
        <v>17706</v>
      </c>
      <c r="C42" s="420">
        <v>5035525</v>
      </c>
      <c r="D42" s="420">
        <v>6240</v>
      </c>
      <c r="E42" s="420">
        <v>3784977</v>
      </c>
      <c r="F42" s="420">
        <v>9566</v>
      </c>
      <c r="G42" s="420">
        <v>2935879</v>
      </c>
      <c r="H42" s="420">
        <v>6503</v>
      </c>
      <c r="I42" s="420">
        <v>3044684</v>
      </c>
      <c r="J42" s="421">
        <v>5112</v>
      </c>
      <c r="K42" s="422">
        <v>3224993</v>
      </c>
      <c r="L42" s="420">
        <v>13471</v>
      </c>
      <c r="M42" s="420">
        <v>4417423</v>
      </c>
      <c r="N42" s="420">
        <v>11009</v>
      </c>
      <c r="O42" s="420">
        <v>4729278</v>
      </c>
      <c r="P42" s="420">
        <v>33998</v>
      </c>
      <c r="Q42" s="420">
        <v>11641642</v>
      </c>
      <c r="R42" s="420">
        <v>15962</v>
      </c>
      <c r="S42" s="420">
        <v>6253943</v>
      </c>
      <c r="T42" s="420">
        <v>18510</v>
      </c>
      <c r="U42" s="420">
        <v>8270668</v>
      </c>
      <c r="V42" s="420">
        <f>_xlfn.IFNA(VLOOKUP(A42,[3]進出口值表查詢結果!$C$11:$F$68,4,0),-[4]整車!$B$22)</f>
        <v>12194</v>
      </c>
      <c r="W42" s="420">
        <f>_xlfn.IFNA(VLOOKUP(A42,[3]進出口值表查詢結果!$C$11:$F$68,3,0),-[4]整車!$B$22)</f>
        <v>5955460</v>
      </c>
      <c r="X42" s="420">
        <f>_xlfn.IFNA(VLOOKUP(A42,[5]進出口值表查詢結果!$C$11:$F$68,4,0),-[4]整車!$B$22)</f>
        <v>14217</v>
      </c>
      <c r="Y42" s="420">
        <f>_xlfn.IFNA(VLOOKUP(A42,[5]進出口值表查詢結果!$C$11:$F$68,3,0),-[4]整車!$B$22)</f>
        <v>5372669</v>
      </c>
      <c r="Z42" s="414">
        <f t="shared" si="7"/>
        <v>164488</v>
      </c>
      <c r="AA42" s="414">
        <f t="shared" si="8"/>
        <v>64667141</v>
      </c>
    </row>
    <row r="43" spans="1:27">
      <c r="A43" s="457" t="s">
        <v>171</v>
      </c>
      <c r="B43" s="420">
        <v>1251</v>
      </c>
      <c r="C43" s="420">
        <v>1143718</v>
      </c>
      <c r="D43" s="420">
        <v>1214</v>
      </c>
      <c r="E43" s="420">
        <v>1514756</v>
      </c>
      <c r="F43" s="420">
        <v>1275</v>
      </c>
      <c r="G43" s="420">
        <v>1300366</v>
      </c>
      <c r="H43" s="420">
        <v>85</v>
      </c>
      <c r="I43" s="420">
        <v>106062</v>
      </c>
      <c r="J43" s="421">
        <v>889</v>
      </c>
      <c r="K43" s="422">
        <v>1214599</v>
      </c>
      <c r="L43" s="420">
        <v>1601</v>
      </c>
      <c r="M43" s="420">
        <v>1668970</v>
      </c>
      <c r="N43" s="420">
        <v>925</v>
      </c>
      <c r="O43" s="420">
        <v>1104904</v>
      </c>
      <c r="P43" s="420">
        <v>519</v>
      </c>
      <c r="Q43" s="420">
        <v>835276</v>
      </c>
      <c r="R43" s="420">
        <v>1150</v>
      </c>
      <c r="S43" s="420">
        <v>1209512</v>
      </c>
      <c r="T43" s="420">
        <v>2343</v>
      </c>
      <c r="U43" s="420">
        <v>2166095</v>
      </c>
      <c r="V43" s="420">
        <f>_xlfn.IFNA(VLOOKUP(A43,[3]進出口值表查詢結果!$C$11:$F$68,4,0),-[4]整車!$B$22)</f>
        <v>1094</v>
      </c>
      <c r="W43" s="420">
        <f>_xlfn.IFNA(VLOOKUP(A43,[3]進出口值表查詢結果!$C$11:$F$68,3,0),-[4]整車!$B$22)</f>
        <v>1193068</v>
      </c>
      <c r="X43" s="420">
        <f>_xlfn.IFNA(VLOOKUP(A43,[5]進出口值表查詢結果!$C$11:$F$68,4,0),-[4]整車!$B$22)</f>
        <v>680</v>
      </c>
      <c r="Y43" s="420">
        <f>_xlfn.IFNA(VLOOKUP(A43,[5]進出口值表查詢結果!$C$11:$F$68,3,0),-[4]整車!$B$22)</f>
        <v>895521</v>
      </c>
      <c r="Z43" s="414">
        <f t="shared" si="7"/>
        <v>13026</v>
      </c>
      <c r="AA43" s="414">
        <f t="shared" si="8"/>
        <v>14352847</v>
      </c>
    </row>
    <row r="44" spans="1:27">
      <c r="A44" s="419" t="s">
        <v>250</v>
      </c>
      <c r="B44" s="420">
        <v>1462</v>
      </c>
      <c r="C44" s="420">
        <v>1150648</v>
      </c>
      <c r="D44" s="420">
        <v>1170</v>
      </c>
      <c r="E44" s="420">
        <v>1065890</v>
      </c>
      <c r="F44" s="420">
        <v>328</v>
      </c>
      <c r="G44" s="420">
        <v>441720</v>
      </c>
      <c r="H44" s="420">
        <v>198</v>
      </c>
      <c r="I44" s="420">
        <v>604272</v>
      </c>
      <c r="J44" s="421">
        <v>824</v>
      </c>
      <c r="K44" s="422">
        <v>1298798</v>
      </c>
      <c r="L44" s="420">
        <v>1079</v>
      </c>
      <c r="M44" s="420">
        <v>1208211</v>
      </c>
      <c r="N44" s="420">
        <v>807</v>
      </c>
      <c r="O44" s="420">
        <v>1002195</v>
      </c>
      <c r="P44" s="420">
        <v>796</v>
      </c>
      <c r="Q44" s="420">
        <v>1264047</v>
      </c>
      <c r="R44" s="420">
        <v>605</v>
      </c>
      <c r="S44" s="420">
        <v>956624</v>
      </c>
      <c r="T44" s="420">
        <v>1343</v>
      </c>
      <c r="U44" s="420">
        <v>1450743</v>
      </c>
      <c r="V44" s="420">
        <f>_xlfn.IFNA(VLOOKUP(A44,[3]進出口值表查詢結果!$C$11:$F$68,4,0),-[4]整車!$B$22)</f>
        <v>1030</v>
      </c>
      <c r="W44" s="420">
        <f>_xlfn.IFNA(VLOOKUP(A44,[3]進出口值表查詢結果!$C$11:$F$68,3,0),-[4]整車!$B$22)</f>
        <v>1221871</v>
      </c>
      <c r="X44" s="420">
        <f>_xlfn.IFNA(VLOOKUP(A44,[5]進出口值表查詢結果!$C$11:$F$68,4,0),-[4]整車!$B$22)</f>
        <v>1914</v>
      </c>
      <c r="Y44" s="420">
        <f>_xlfn.IFNA(VLOOKUP(A44,[5]進出口值表查詢結果!$C$11:$F$68,3,0),-[4]整車!$B$22)</f>
        <v>2462982</v>
      </c>
      <c r="Z44" s="414">
        <f t="shared" si="7"/>
        <v>11556</v>
      </c>
      <c r="AA44" s="414">
        <f t="shared" si="8"/>
        <v>14128001</v>
      </c>
    </row>
    <row r="45" spans="1:27">
      <c r="A45" s="457" t="s">
        <v>189</v>
      </c>
      <c r="B45" s="420">
        <v>8259</v>
      </c>
      <c r="C45" s="420">
        <v>7055116</v>
      </c>
      <c r="D45" s="420">
        <v>7827</v>
      </c>
      <c r="E45" s="420">
        <v>8311625</v>
      </c>
      <c r="F45" s="420">
        <v>5451</v>
      </c>
      <c r="G45" s="420">
        <v>4815102</v>
      </c>
      <c r="H45" s="420">
        <v>1437</v>
      </c>
      <c r="I45" s="420">
        <v>897615</v>
      </c>
      <c r="J45" s="421">
        <v>6587</v>
      </c>
      <c r="K45" s="422">
        <v>3549849</v>
      </c>
      <c r="L45" s="420">
        <v>5956</v>
      </c>
      <c r="M45" s="420">
        <v>4372019</v>
      </c>
      <c r="N45" s="420">
        <v>6178</v>
      </c>
      <c r="O45" s="420">
        <v>5869574</v>
      </c>
      <c r="P45" s="420">
        <v>5911</v>
      </c>
      <c r="Q45" s="420">
        <v>4858793</v>
      </c>
      <c r="R45" s="420">
        <v>4741</v>
      </c>
      <c r="S45" s="420">
        <v>2750680</v>
      </c>
      <c r="T45" s="420">
        <v>8165</v>
      </c>
      <c r="U45" s="420">
        <v>3665783</v>
      </c>
      <c r="V45" s="420">
        <f>_xlfn.IFNA(VLOOKUP(A45,[3]進出口值表查詢結果!$C$11:$F$68,4,0),-[4]整車!$B$22)</f>
        <v>4599</v>
      </c>
      <c r="W45" s="420">
        <f>_xlfn.IFNA(VLOOKUP(A45,[3]進出口值表查詢結果!$C$11:$F$68,3,0),-[4]整車!$B$22)</f>
        <v>2448875</v>
      </c>
      <c r="X45" s="420">
        <f>_xlfn.IFNA(VLOOKUP(A45,[5]進出口值表查詢結果!$C$11:$F$68,4,0),-[4]整車!$B$22)</f>
        <v>6519</v>
      </c>
      <c r="Y45" s="420">
        <f>_xlfn.IFNA(VLOOKUP(A45,[5]進出口值表查詢結果!$C$11:$F$68,3,0),-[4]整車!$B$22)</f>
        <v>4708366</v>
      </c>
      <c r="Z45" s="414">
        <f t="shared" si="7"/>
        <v>71630</v>
      </c>
      <c r="AA45" s="414">
        <f t="shared" si="8"/>
        <v>53303397</v>
      </c>
    </row>
    <row r="46" spans="1:27">
      <c r="A46" s="457" t="s">
        <v>166</v>
      </c>
      <c r="B46" s="420">
        <v>2698</v>
      </c>
      <c r="C46" s="420">
        <v>337022</v>
      </c>
      <c r="D46" s="420">
        <v>4227</v>
      </c>
      <c r="E46" s="420">
        <v>590807</v>
      </c>
      <c r="F46" s="420">
        <v>1385</v>
      </c>
      <c r="G46" s="420">
        <v>364355</v>
      </c>
      <c r="H46" s="420">
        <v>2867</v>
      </c>
      <c r="I46" s="420">
        <v>160451</v>
      </c>
      <c r="J46" s="421">
        <v>493</v>
      </c>
      <c r="K46" s="422">
        <v>68059</v>
      </c>
      <c r="L46" s="420">
        <v>3511</v>
      </c>
      <c r="M46" s="420">
        <v>345274</v>
      </c>
      <c r="N46" s="434">
        <v>616</v>
      </c>
      <c r="O46" s="434">
        <v>145435</v>
      </c>
      <c r="P46" s="420">
        <v>252</v>
      </c>
      <c r="Q46" s="420">
        <v>50525</v>
      </c>
      <c r="R46" s="420">
        <v>1078</v>
      </c>
      <c r="S46" s="420">
        <v>229756</v>
      </c>
      <c r="T46" s="420">
        <v>2600</v>
      </c>
      <c r="U46" s="420">
        <v>425508</v>
      </c>
      <c r="V46" s="420">
        <f>_xlfn.IFNA(VLOOKUP(A46,[3]進出口值表查詢結果!$C$11:$F$68,4,0),-[4]整車!$B$22)</f>
        <v>2376</v>
      </c>
      <c r="W46" s="420">
        <f>_xlfn.IFNA(VLOOKUP(A46,[3]進出口值表查詢結果!$C$11:$F$68,3,0),-[4]整車!$B$22)</f>
        <v>357540</v>
      </c>
      <c r="X46" s="420">
        <f>_xlfn.IFNA(VLOOKUP(A46,[5]進出口值表查詢結果!$C$11:$F$68,4,0),-[4]整車!$B$22)</f>
        <v>3399</v>
      </c>
      <c r="Y46" s="420">
        <f>_xlfn.IFNA(VLOOKUP(A46,[5]進出口值表查詢結果!$C$11:$F$68,3,0),-[4]整車!$B$22)</f>
        <v>252100</v>
      </c>
      <c r="Z46" s="414">
        <f t="shared" si="7"/>
        <v>25502</v>
      </c>
      <c r="AA46" s="414">
        <f t="shared" si="8"/>
        <v>3326832</v>
      </c>
    </row>
    <row r="47" spans="1:27">
      <c r="A47" s="457" t="s">
        <v>192</v>
      </c>
      <c r="B47" s="420">
        <v>0</v>
      </c>
      <c r="C47" s="420">
        <v>0</v>
      </c>
      <c r="D47" s="420"/>
      <c r="E47" s="420"/>
      <c r="F47" s="420">
        <v>0</v>
      </c>
      <c r="G47" s="420"/>
      <c r="H47" s="420">
        <v>0</v>
      </c>
      <c r="I47" s="420">
        <v>0</v>
      </c>
      <c r="J47" s="421">
        <v>17</v>
      </c>
      <c r="K47" s="422">
        <v>30939</v>
      </c>
      <c r="L47" s="420">
        <v>0</v>
      </c>
      <c r="M47" s="420">
        <v>0</v>
      </c>
      <c r="N47" s="420">
        <v>0</v>
      </c>
      <c r="O47" s="420">
        <v>0</v>
      </c>
      <c r="P47" s="420">
        <v>0</v>
      </c>
      <c r="Q47" s="420">
        <v>0</v>
      </c>
      <c r="R47" s="420">
        <v>0</v>
      </c>
      <c r="S47" s="420">
        <v>0</v>
      </c>
      <c r="T47" s="420"/>
      <c r="U47" s="420"/>
      <c r="V47" s="420">
        <f>_xlfn.IFNA(VLOOKUP(A47,[3]進出口值表查詢結果!$C$11:$F$68,4,0),-[4]整車!$B$22)</f>
        <v>13</v>
      </c>
      <c r="W47" s="420">
        <f>_xlfn.IFNA(VLOOKUP(A47,[3]進出口值表查詢結果!$C$11:$F$68,3,0),-[4]整車!$B$22)</f>
        <v>30641</v>
      </c>
      <c r="X47" s="420">
        <f>_xlfn.IFNA(VLOOKUP(A47,[5]進出口值表查詢結果!$C$11:$F$68,4,0),-[4]整車!$B$22)</f>
        <v>0</v>
      </c>
      <c r="Y47" s="420">
        <f>_xlfn.IFNA(VLOOKUP(A47,[5]進出口值表查詢結果!$C$11:$F$68,3,0),-[4]整車!$B$22)</f>
        <v>0</v>
      </c>
      <c r="Z47" s="414">
        <f t="shared" si="7"/>
        <v>30</v>
      </c>
      <c r="AA47" s="414">
        <f t="shared" si="8"/>
        <v>61580</v>
      </c>
    </row>
    <row r="48" spans="1:27">
      <c r="A48" s="457" t="s">
        <v>253</v>
      </c>
      <c r="B48" s="420">
        <v>1496</v>
      </c>
      <c r="C48" s="420">
        <v>75974</v>
      </c>
      <c r="D48" s="420">
        <v>887</v>
      </c>
      <c r="E48" s="420">
        <v>76782</v>
      </c>
      <c r="F48" s="420">
        <v>282</v>
      </c>
      <c r="G48" s="420">
        <v>34683</v>
      </c>
      <c r="H48" s="420">
        <v>243</v>
      </c>
      <c r="I48" s="420">
        <v>59854</v>
      </c>
      <c r="J48" s="421">
        <v>2854</v>
      </c>
      <c r="K48" s="422">
        <v>111627</v>
      </c>
      <c r="L48" s="420">
        <v>292</v>
      </c>
      <c r="M48" s="420">
        <v>40717</v>
      </c>
      <c r="N48" s="434">
        <v>50</v>
      </c>
      <c r="O48" s="434">
        <v>7437</v>
      </c>
      <c r="P48" s="420">
        <v>0</v>
      </c>
      <c r="Q48" s="420">
        <v>0</v>
      </c>
      <c r="R48" s="420">
        <v>63</v>
      </c>
      <c r="S48" s="420">
        <v>7337</v>
      </c>
      <c r="T48" s="420">
        <v>110</v>
      </c>
      <c r="U48" s="420">
        <v>19242</v>
      </c>
      <c r="V48" s="420">
        <f>_xlfn.IFNA(VLOOKUP(A48,[3]進出口值表查詢結果!$C$11:$F$68,4,0),-[4]整車!$B$22)</f>
        <v>2810</v>
      </c>
      <c r="W48" s="420">
        <f>_xlfn.IFNA(VLOOKUP(A48,[3]進出口值表查詢結果!$C$11:$F$68,3,0),-[4]整車!$B$22)</f>
        <v>115217</v>
      </c>
      <c r="X48" s="420">
        <f>_xlfn.IFNA(VLOOKUP(A48,[5]進出口值表查詢結果!$C$11:$F$68,4,0),-[4]整車!$B$22)</f>
        <v>233</v>
      </c>
      <c r="Y48" s="420">
        <f>_xlfn.IFNA(VLOOKUP(A48,[5]進出口值表查詢結果!$C$11:$F$68,3,0),-[4]整車!$B$22)</f>
        <v>49405</v>
      </c>
      <c r="Z48" s="414">
        <f t="shared" si="7"/>
        <v>9320</v>
      </c>
      <c r="AA48" s="414">
        <f t="shared" si="8"/>
        <v>598275</v>
      </c>
    </row>
    <row r="49" spans="1:27">
      <c r="A49" s="457" t="s">
        <v>195</v>
      </c>
      <c r="B49" s="420">
        <v>0</v>
      </c>
      <c r="C49" s="420">
        <v>0</v>
      </c>
      <c r="D49" s="420"/>
      <c r="E49" s="420"/>
      <c r="F49" s="420">
        <v>0</v>
      </c>
      <c r="G49" s="420"/>
      <c r="H49" s="420">
        <v>0</v>
      </c>
      <c r="I49" s="420">
        <v>0</v>
      </c>
      <c r="J49" s="421" t="s">
        <v>60</v>
      </c>
      <c r="K49" s="424" t="s">
        <v>60</v>
      </c>
      <c r="L49" s="420">
        <v>0</v>
      </c>
      <c r="M49" s="420">
        <v>0</v>
      </c>
      <c r="N49" s="420">
        <v>0</v>
      </c>
      <c r="O49" s="420">
        <v>0</v>
      </c>
      <c r="P49" s="420">
        <v>1103</v>
      </c>
      <c r="Q49" s="420">
        <v>149812</v>
      </c>
      <c r="R49" s="420">
        <v>0</v>
      </c>
      <c r="S49" s="420">
        <v>0</v>
      </c>
      <c r="T49" s="420">
        <v>1020</v>
      </c>
      <c r="U49" s="420">
        <v>82719</v>
      </c>
      <c r="V49" s="420">
        <f>_xlfn.IFNA(VLOOKUP(A49,[3]進出口值表查詢結果!$C$11:$F$68,4,0),-[4]整車!$B$22)</f>
        <v>250</v>
      </c>
      <c r="W49" s="420">
        <f>_xlfn.IFNA(VLOOKUP(A49,[3]進出口值表查詢結果!$C$11:$F$68,3,0),-[4]整車!$B$22)</f>
        <v>40485</v>
      </c>
      <c r="X49" s="420">
        <f>_xlfn.IFNA(VLOOKUP(A49,[5]進出口值表查詢結果!$C$11:$F$68,4,0),-[4]整車!$B$22)</f>
        <v>0</v>
      </c>
      <c r="Y49" s="420">
        <f>_xlfn.IFNA(VLOOKUP(A49,[5]進出口值表查詢結果!$C$11:$F$68,3,0),-[4]整車!$B$22)</f>
        <v>0</v>
      </c>
      <c r="Z49" s="414">
        <f t="shared" si="7"/>
        <v>2373</v>
      </c>
      <c r="AA49" s="414">
        <f t="shared" si="8"/>
        <v>273016</v>
      </c>
    </row>
    <row r="50" spans="1:27">
      <c r="A50" s="457" t="s">
        <v>254</v>
      </c>
      <c r="B50" s="420">
        <v>0</v>
      </c>
      <c r="C50" s="420">
        <v>0</v>
      </c>
      <c r="D50" s="420"/>
      <c r="E50" s="420"/>
      <c r="F50" s="420">
        <v>41</v>
      </c>
      <c r="G50" s="420">
        <v>46233</v>
      </c>
      <c r="H50" s="420">
        <v>0</v>
      </c>
      <c r="I50" s="420">
        <v>0</v>
      </c>
      <c r="J50" s="421">
        <v>78</v>
      </c>
      <c r="K50" s="424">
        <v>136719</v>
      </c>
      <c r="L50" s="420">
        <v>73</v>
      </c>
      <c r="M50" s="420">
        <v>111226</v>
      </c>
      <c r="N50" s="434">
        <v>42</v>
      </c>
      <c r="O50" s="434">
        <v>82995</v>
      </c>
      <c r="P50" s="420">
        <v>76</v>
      </c>
      <c r="Q50" s="420">
        <v>189800</v>
      </c>
      <c r="R50" s="420">
        <v>3</v>
      </c>
      <c r="S50" s="420">
        <v>18037</v>
      </c>
      <c r="T50" s="420"/>
      <c r="U50" s="420"/>
      <c r="V50" s="420">
        <f>_xlfn.IFNA(VLOOKUP(A50,[3]進出口值表查詢結果!$C$11:$F$68,4,0),-[4]整車!$B$22)</f>
        <v>0</v>
      </c>
      <c r="W50" s="420">
        <f>_xlfn.IFNA(VLOOKUP(A50,[3]進出口值表查詢結果!$C$11:$F$68,3,0),-[4]整車!$B$22)</f>
        <v>0</v>
      </c>
      <c r="X50" s="420">
        <f>_xlfn.IFNA(VLOOKUP(A50,[5]進出口值表查詢結果!$C$11:$F$68,4,0),-[4]整車!$B$22)</f>
        <v>0</v>
      </c>
      <c r="Y50" s="420">
        <f>_xlfn.IFNA(VLOOKUP(A50,[5]進出口值表查詢結果!$C$11:$F$68,3,0),-[4]整車!$B$22)</f>
        <v>0</v>
      </c>
      <c r="Z50" s="414">
        <f t="shared" si="7"/>
        <v>313</v>
      </c>
      <c r="AA50" s="414">
        <f t="shared" si="8"/>
        <v>585010</v>
      </c>
    </row>
    <row r="51" spans="1:27">
      <c r="A51" s="457" t="s">
        <v>187</v>
      </c>
      <c r="B51" s="420">
        <v>201</v>
      </c>
      <c r="C51" s="420">
        <v>272709</v>
      </c>
      <c r="D51" s="420"/>
      <c r="E51" s="420"/>
      <c r="F51" s="420">
        <v>0</v>
      </c>
      <c r="G51" s="420"/>
      <c r="H51" s="420">
        <v>32</v>
      </c>
      <c r="I51" s="420">
        <v>33620</v>
      </c>
      <c r="J51" s="421">
        <v>101</v>
      </c>
      <c r="K51" s="424">
        <v>102138</v>
      </c>
      <c r="L51" s="420">
        <v>63</v>
      </c>
      <c r="M51" s="420">
        <v>100302</v>
      </c>
      <c r="N51" s="434">
        <v>9</v>
      </c>
      <c r="O51" s="434">
        <v>13320</v>
      </c>
      <c r="P51" s="420">
        <v>0</v>
      </c>
      <c r="Q51" s="420">
        <v>0</v>
      </c>
      <c r="R51" s="420">
        <v>78</v>
      </c>
      <c r="S51" s="420">
        <v>157745</v>
      </c>
      <c r="T51" s="420"/>
      <c r="U51" s="420"/>
      <c r="V51" s="420">
        <f>_xlfn.IFNA(VLOOKUP(A51,[3]進出口值表查詢結果!$C$11:$F$68,4,0),-[4]整車!$B$22)</f>
        <v>149</v>
      </c>
      <c r="W51" s="420">
        <f>_xlfn.IFNA(VLOOKUP(A51,[3]進出口值表查詢結果!$C$11:$F$68,3,0),-[4]整車!$B$22)</f>
        <v>101179</v>
      </c>
      <c r="X51" s="420">
        <f>_xlfn.IFNA(VLOOKUP(A51,[5]進出口值表查詢結果!$C$11:$F$68,4,0),-[4]整車!$B$22)</f>
        <v>177</v>
      </c>
      <c r="Y51" s="420">
        <f>_xlfn.IFNA(VLOOKUP(A51,[5]進出口值表查詢結果!$C$11:$F$68,3,0),-[4]整車!$B$22)</f>
        <v>208957</v>
      </c>
      <c r="Z51" s="414">
        <f t="shared" si="7"/>
        <v>810</v>
      </c>
      <c r="AA51" s="414">
        <f t="shared" si="8"/>
        <v>989970</v>
      </c>
    </row>
    <row r="52" spans="1:27">
      <c r="A52" s="457" t="s">
        <v>256</v>
      </c>
      <c r="B52" s="420">
        <v>14850</v>
      </c>
      <c r="C52" s="420">
        <v>1819825</v>
      </c>
      <c r="D52" s="420">
        <v>10994</v>
      </c>
      <c r="E52" s="420">
        <v>1791539</v>
      </c>
      <c r="F52" s="420">
        <v>5163</v>
      </c>
      <c r="G52" s="420">
        <v>792431</v>
      </c>
      <c r="H52" s="420">
        <v>8731</v>
      </c>
      <c r="I52" s="420">
        <v>1291818</v>
      </c>
      <c r="J52" s="421">
        <v>8229</v>
      </c>
      <c r="K52" s="422">
        <v>909253</v>
      </c>
      <c r="L52" s="420">
        <v>1974</v>
      </c>
      <c r="M52" s="420">
        <v>362668</v>
      </c>
      <c r="N52" s="434">
        <v>1030</v>
      </c>
      <c r="O52" s="434">
        <v>144084</v>
      </c>
      <c r="P52" s="420">
        <v>637</v>
      </c>
      <c r="Q52" s="420">
        <v>148186</v>
      </c>
      <c r="R52" s="420">
        <v>0</v>
      </c>
      <c r="S52" s="420">
        <v>0</v>
      </c>
      <c r="T52" s="420">
        <v>492</v>
      </c>
      <c r="U52" s="420">
        <v>276110</v>
      </c>
      <c r="V52" s="420">
        <f>_xlfn.IFNA(VLOOKUP(A52,[3]進出口值表查詢結果!$C$11:$F$68,4,0),-[4]整車!$B$22)</f>
        <v>373</v>
      </c>
      <c r="W52" s="420">
        <f>_xlfn.IFNA(VLOOKUP(A52,[3]進出口值表查詢結果!$C$11:$F$68,3,0),-[4]整車!$B$22)</f>
        <v>210711</v>
      </c>
      <c r="X52" s="420">
        <f>_xlfn.IFNA(VLOOKUP(A52,[5]進出口值表查詢結果!$C$11:$F$68,4,0),-[4]整車!$B$22)</f>
        <v>255</v>
      </c>
      <c r="Y52" s="420">
        <f>_xlfn.IFNA(VLOOKUP(A52,[5]進出口值表查詢結果!$C$11:$F$68,3,0),-[4]整車!$B$22)</f>
        <v>121134</v>
      </c>
      <c r="Z52" s="414">
        <f t="shared" si="7"/>
        <v>52728</v>
      </c>
      <c r="AA52" s="414">
        <f t="shared" si="8"/>
        <v>7867759</v>
      </c>
    </row>
    <row r="53" spans="1:27">
      <c r="A53" s="457" t="s">
        <v>170</v>
      </c>
      <c r="B53" s="420">
        <v>415</v>
      </c>
      <c r="C53" s="420">
        <v>138854</v>
      </c>
      <c r="D53" s="420">
        <v>347</v>
      </c>
      <c r="E53" s="420">
        <v>89541</v>
      </c>
      <c r="F53" s="420">
        <v>168</v>
      </c>
      <c r="G53" s="420">
        <v>63590</v>
      </c>
      <c r="H53" s="420">
        <v>91</v>
      </c>
      <c r="I53" s="420">
        <v>41073</v>
      </c>
      <c r="J53" s="421" t="s">
        <v>60</v>
      </c>
      <c r="K53" s="424" t="s">
        <v>60</v>
      </c>
      <c r="L53" s="420">
        <v>192</v>
      </c>
      <c r="M53" s="420">
        <v>38137</v>
      </c>
      <c r="N53" s="434">
        <v>565</v>
      </c>
      <c r="O53" s="434">
        <v>326470</v>
      </c>
      <c r="P53" s="420">
        <v>55</v>
      </c>
      <c r="Q53" s="420">
        <v>37445</v>
      </c>
      <c r="R53" s="420">
        <v>12</v>
      </c>
      <c r="S53" s="420">
        <v>17120</v>
      </c>
      <c r="T53" s="420">
        <v>3</v>
      </c>
      <c r="U53" s="420">
        <v>1549</v>
      </c>
      <c r="V53" s="420">
        <f>_xlfn.IFNA(VLOOKUP(A53,[3]進出口值表查詢結果!$C$11:$F$68,4,0),-[4]整車!$B$22)</f>
        <v>6</v>
      </c>
      <c r="W53" s="420">
        <f>_xlfn.IFNA(VLOOKUP(A53,[3]進出口值表查詢結果!$C$11:$F$68,3,0),-[4]整車!$B$22)</f>
        <v>1837</v>
      </c>
      <c r="X53" s="420">
        <f>_xlfn.IFNA(VLOOKUP(A53,[5]進出口值表查詢結果!$C$11:$F$68,4,0),-[4]整車!$B$22)</f>
        <v>0</v>
      </c>
      <c r="Y53" s="420">
        <f>_xlfn.IFNA(VLOOKUP(A53,[5]進出口值表查詢結果!$C$11:$F$68,3,0),-[4]整車!$B$22)</f>
        <v>0</v>
      </c>
      <c r="Z53" s="414">
        <f t="shared" si="7"/>
        <v>1854</v>
      </c>
      <c r="AA53" s="414">
        <f t="shared" si="8"/>
        <v>755616</v>
      </c>
    </row>
    <row r="54" spans="1:27">
      <c r="A54" s="457" t="s">
        <v>177</v>
      </c>
      <c r="B54" s="420">
        <v>2701</v>
      </c>
      <c r="C54" s="420">
        <v>1013330</v>
      </c>
      <c r="D54" s="420">
        <v>526</v>
      </c>
      <c r="E54" s="420">
        <v>174316</v>
      </c>
      <c r="F54" s="420">
        <v>871</v>
      </c>
      <c r="G54" s="420">
        <v>261235</v>
      </c>
      <c r="H54" s="420">
        <v>560</v>
      </c>
      <c r="I54" s="420">
        <v>111328</v>
      </c>
      <c r="J54" s="421">
        <v>122</v>
      </c>
      <c r="K54" s="424">
        <v>126429</v>
      </c>
      <c r="L54" s="420">
        <v>437</v>
      </c>
      <c r="M54" s="420">
        <v>340350</v>
      </c>
      <c r="N54" s="434">
        <v>995</v>
      </c>
      <c r="O54" s="434">
        <v>812171</v>
      </c>
      <c r="P54" s="420">
        <v>393</v>
      </c>
      <c r="Q54" s="420">
        <v>427618</v>
      </c>
      <c r="R54" s="420">
        <v>1762</v>
      </c>
      <c r="S54" s="420">
        <v>731590</v>
      </c>
      <c r="T54" s="420">
        <v>2871</v>
      </c>
      <c r="U54" s="420">
        <v>1163960</v>
      </c>
      <c r="V54" s="420">
        <f>_xlfn.IFNA(VLOOKUP(A54,[3]進出口值表查詢結果!$C$11:$F$68,4,0),-[4]整車!$B$22)</f>
        <v>2077</v>
      </c>
      <c r="W54" s="420">
        <f>_xlfn.IFNA(VLOOKUP(A54,[3]進出口值表查詢結果!$C$11:$F$68,3,0),-[4]整車!$B$22)</f>
        <v>695253</v>
      </c>
      <c r="X54" s="420">
        <f>_xlfn.IFNA(VLOOKUP(A54,[5]進出口值表查詢結果!$C$11:$F$68,4,0),-[4]整車!$B$22)</f>
        <v>2420</v>
      </c>
      <c r="Y54" s="420">
        <f>_xlfn.IFNA(VLOOKUP(A54,[5]進出口值表查詢結果!$C$11:$F$68,3,0),-[4]整車!$B$22)</f>
        <v>651295</v>
      </c>
      <c r="Z54" s="414">
        <f t="shared" si="7"/>
        <v>15735</v>
      </c>
      <c r="AA54" s="414">
        <f t="shared" si="8"/>
        <v>6508875</v>
      </c>
    </row>
    <row r="55" spans="1:27">
      <c r="A55" s="457" t="s">
        <v>167</v>
      </c>
      <c r="B55" s="420">
        <v>184</v>
      </c>
      <c r="C55" s="420">
        <v>65445</v>
      </c>
      <c r="D55" s="420">
        <v>384</v>
      </c>
      <c r="E55" s="420">
        <v>270420</v>
      </c>
      <c r="F55" s="420">
        <v>117</v>
      </c>
      <c r="G55" s="420">
        <v>125456</v>
      </c>
      <c r="H55" s="420">
        <v>125</v>
      </c>
      <c r="I55" s="420">
        <v>79330</v>
      </c>
      <c r="J55" s="421">
        <v>112</v>
      </c>
      <c r="K55" s="424">
        <v>53759</v>
      </c>
      <c r="L55" s="420">
        <v>191</v>
      </c>
      <c r="M55" s="420">
        <v>102112</v>
      </c>
      <c r="N55" s="434">
        <v>97</v>
      </c>
      <c r="O55" s="434">
        <v>124577</v>
      </c>
      <c r="P55" s="420">
        <v>96</v>
      </c>
      <c r="Q55" s="420">
        <v>91901</v>
      </c>
      <c r="R55" s="420">
        <v>1</v>
      </c>
      <c r="S55" s="420">
        <v>4144</v>
      </c>
      <c r="T55" s="420">
        <v>262</v>
      </c>
      <c r="U55" s="420">
        <v>270569</v>
      </c>
      <c r="V55" s="420">
        <f>_xlfn.IFNA(VLOOKUP(A55,[3]進出口值表查詢結果!$C$11:$F$68,4,0),-[4]整車!$B$22)</f>
        <v>124</v>
      </c>
      <c r="W55" s="420">
        <f>_xlfn.IFNA(VLOOKUP(A55,[3]進出口值表查詢結果!$C$11:$F$68,3,0),-[4]整車!$B$22)</f>
        <v>163570</v>
      </c>
      <c r="X55" s="420">
        <f>_xlfn.IFNA(VLOOKUP(A55,[5]進出口值表查詢結果!$C$11:$F$68,4,0),-[4]整車!$B$22)</f>
        <v>2983</v>
      </c>
      <c r="Y55" s="420">
        <f>_xlfn.IFNA(VLOOKUP(A55,[5]進出口值表查詢結果!$C$11:$F$68,3,0),-[4]整車!$B$22)</f>
        <v>600700</v>
      </c>
      <c r="Z55" s="414">
        <f t="shared" si="7"/>
        <v>4676</v>
      </c>
      <c r="AA55" s="414">
        <f t="shared" si="8"/>
        <v>1951983</v>
      </c>
    </row>
    <row r="56" spans="1:27">
      <c r="A56" s="457" t="s">
        <v>173</v>
      </c>
      <c r="B56" s="420">
        <v>1004</v>
      </c>
      <c r="C56" s="420">
        <v>51950</v>
      </c>
      <c r="D56" s="420">
        <v>726</v>
      </c>
      <c r="E56" s="420">
        <v>56062</v>
      </c>
      <c r="F56" s="420">
        <v>1874</v>
      </c>
      <c r="G56" s="420">
        <v>133920</v>
      </c>
      <c r="H56" s="420">
        <v>806</v>
      </c>
      <c r="I56" s="420">
        <v>75224</v>
      </c>
      <c r="J56" s="421" t="s">
        <v>60</v>
      </c>
      <c r="K56" s="424" t="s">
        <v>60</v>
      </c>
      <c r="L56" s="420">
        <v>52</v>
      </c>
      <c r="M56" s="420">
        <v>5931</v>
      </c>
      <c r="N56" s="420">
        <v>0</v>
      </c>
      <c r="O56" s="420">
        <v>0</v>
      </c>
      <c r="P56" s="420">
        <v>0</v>
      </c>
      <c r="Q56" s="420">
        <v>0</v>
      </c>
      <c r="R56" s="420">
        <v>0</v>
      </c>
      <c r="S56" s="420">
        <v>0</v>
      </c>
      <c r="T56" s="420">
        <v>70</v>
      </c>
      <c r="U56" s="420">
        <v>11429</v>
      </c>
      <c r="V56" s="420">
        <f>_xlfn.IFNA(VLOOKUP(A56,[3]進出口值表查詢結果!$C$11:$F$68,4,0),-[4]整車!$B$22)</f>
        <v>13</v>
      </c>
      <c r="W56" s="420">
        <f>_xlfn.IFNA(VLOOKUP(A56,[3]進出口值表查詢結果!$C$11:$F$68,3,0),-[4]整車!$B$22)</f>
        <v>1698</v>
      </c>
      <c r="X56" s="420">
        <f>_xlfn.IFNA(VLOOKUP(A56,[5]進出口值表查詢結果!$C$11:$F$68,4,0),-[4]整車!$B$22)</f>
        <v>55</v>
      </c>
      <c r="Y56" s="420">
        <f>_xlfn.IFNA(VLOOKUP(A56,[5]進出口值表查詢結果!$C$11:$F$68,3,0),-[4]整車!$B$22)</f>
        <v>5808</v>
      </c>
      <c r="Z56" s="414">
        <f t="shared" si="7"/>
        <v>4600</v>
      </c>
      <c r="AA56" s="414">
        <f t="shared" si="8"/>
        <v>342022</v>
      </c>
    </row>
    <row r="57" spans="1:27">
      <c r="A57" s="457" t="s">
        <v>262</v>
      </c>
      <c r="B57" s="420">
        <v>0</v>
      </c>
      <c r="C57" s="420">
        <v>0</v>
      </c>
      <c r="D57" s="420">
        <v>40</v>
      </c>
      <c r="E57" s="420">
        <v>6163</v>
      </c>
      <c r="F57" s="420">
        <v>0</v>
      </c>
      <c r="G57" s="420"/>
      <c r="H57" s="420">
        <v>0</v>
      </c>
      <c r="I57" s="420">
        <v>0</v>
      </c>
      <c r="J57" s="421" t="s">
        <v>60</v>
      </c>
      <c r="K57" s="424" t="s">
        <v>60</v>
      </c>
      <c r="L57" s="420">
        <v>0</v>
      </c>
      <c r="M57" s="420">
        <v>0</v>
      </c>
      <c r="N57" s="420">
        <v>0</v>
      </c>
      <c r="O57" s="420">
        <v>0</v>
      </c>
      <c r="P57" s="420">
        <v>0</v>
      </c>
      <c r="Q57" s="420">
        <v>0</v>
      </c>
      <c r="R57" s="420">
        <v>0</v>
      </c>
      <c r="S57" s="420">
        <v>0</v>
      </c>
      <c r="T57" s="420"/>
      <c r="U57" s="420"/>
      <c r="V57" s="420">
        <f>_xlfn.IFNA(VLOOKUP(A57,[3]進出口值表查詢結果!$C$11:$F$68,4,0),-[4]整車!$B$22)</f>
        <v>0</v>
      </c>
      <c r="W57" s="420">
        <f>_xlfn.IFNA(VLOOKUP(A57,[3]進出口值表查詢結果!$C$11:$F$68,3,0),-[4]整車!$B$22)</f>
        <v>0</v>
      </c>
      <c r="X57" s="420">
        <f>_xlfn.IFNA(VLOOKUP(A57,[5]進出口值表查詢結果!$C$11:$F$68,4,0),-[4]整車!$B$22)</f>
        <v>0</v>
      </c>
      <c r="Y57" s="420">
        <f>_xlfn.IFNA(VLOOKUP(A57,[5]進出口值表查詢結果!$C$11:$F$68,3,0),-[4]整車!$B$22)</f>
        <v>0</v>
      </c>
      <c r="Z57" s="414">
        <f t="shared" si="7"/>
        <v>40</v>
      </c>
      <c r="AA57" s="414">
        <f t="shared" si="8"/>
        <v>6163</v>
      </c>
    </row>
    <row r="58" spans="1:27">
      <c r="A58" s="460" t="s">
        <v>264</v>
      </c>
      <c r="B58" s="420">
        <v>696</v>
      </c>
      <c r="C58" s="420">
        <v>253916</v>
      </c>
      <c r="D58" s="420">
        <v>1323</v>
      </c>
      <c r="E58" s="420">
        <v>281646</v>
      </c>
      <c r="F58" s="420">
        <v>898</v>
      </c>
      <c r="G58" s="420">
        <v>263987</v>
      </c>
      <c r="H58" s="420">
        <v>276</v>
      </c>
      <c r="I58" s="420">
        <v>95595</v>
      </c>
      <c r="J58" s="421">
        <v>767</v>
      </c>
      <c r="K58" s="424">
        <v>158803</v>
      </c>
      <c r="L58" s="420">
        <v>0</v>
      </c>
      <c r="M58" s="420">
        <v>0</v>
      </c>
      <c r="N58" s="434">
        <v>80</v>
      </c>
      <c r="O58" s="434">
        <v>39824</v>
      </c>
      <c r="P58" s="420">
        <v>0</v>
      </c>
      <c r="Q58" s="420">
        <v>0</v>
      </c>
      <c r="R58" s="420">
        <v>0</v>
      </c>
      <c r="S58" s="420">
        <v>0</v>
      </c>
      <c r="T58" s="420">
        <v>169</v>
      </c>
      <c r="U58" s="420">
        <v>44957</v>
      </c>
      <c r="V58" s="420">
        <f>_xlfn.IFNA(VLOOKUP(A58,[3]進出口值表查詢結果!$C$11:$F$68,4,0),-[4]整車!$B$22)</f>
        <v>0</v>
      </c>
      <c r="W58" s="420">
        <f>_xlfn.IFNA(VLOOKUP(A58,[3]進出口值表查詢結果!$C$11:$F$68,3,0),-[4]整車!$B$22)</f>
        <v>0</v>
      </c>
      <c r="X58" s="420">
        <f>_xlfn.IFNA(VLOOKUP(A58,[5]進出口值表查詢結果!$C$11:$F$68,4,0),-[4]整車!$B$22)</f>
        <v>0</v>
      </c>
      <c r="Y58" s="420">
        <f>_xlfn.IFNA(VLOOKUP(A58,[5]進出口值表查詢結果!$C$11:$F$68,3,0),-[4]整車!$B$22)</f>
        <v>0</v>
      </c>
      <c r="Z58" s="414">
        <f t="shared" si="7"/>
        <v>4209</v>
      </c>
      <c r="AA58" s="414">
        <f t="shared" si="8"/>
        <v>1138728</v>
      </c>
    </row>
    <row r="59" spans="1:27">
      <c r="A59" s="461" t="s">
        <v>18</v>
      </c>
      <c r="B59" s="420">
        <v>0</v>
      </c>
      <c r="C59" s="420">
        <v>0</v>
      </c>
      <c r="D59" s="420"/>
      <c r="E59" s="420"/>
      <c r="F59" s="420">
        <v>0</v>
      </c>
      <c r="G59" s="420"/>
      <c r="H59" s="420">
        <v>0</v>
      </c>
      <c r="I59" s="420">
        <v>0</v>
      </c>
      <c r="J59" s="421">
        <v>50</v>
      </c>
      <c r="K59" s="424">
        <v>5012</v>
      </c>
      <c r="L59" s="420">
        <v>0</v>
      </c>
      <c r="M59" s="420">
        <v>0</v>
      </c>
      <c r="N59" s="420">
        <v>0</v>
      </c>
      <c r="O59" s="420">
        <v>0</v>
      </c>
      <c r="P59" s="420">
        <v>0</v>
      </c>
      <c r="Q59" s="420">
        <v>0</v>
      </c>
      <c r="R59" s="420">
        <v>0</v>
      </c>
      <c r="S59" s="420">
        <v>0</v>
      </c>
      <c r="T59" s="420">
        <v>440</v>
      </c>
      <c r="U59" s="420">
        <v>55250</v>
      </c>
      <c r="V59" s="420">
        <f>_xlfn.IFNA(VLOOKUP(A59,[3]進出口值表查詢結果!$C$11:$F$68,4,0),-[4]整車!$B$22)</f>
        <v>0</v>
      </c>
      <c r="W59" s="420">
        <f>_xlfn.IFNA(VLOOKUP(A59,[3]進出口值表查詢結果!$C$11:$F$68,3,0),-[4]整車!$B$22)</f>
        <v>0</v>
      </c>
      <c r="X59" s="420">
        <f>_xlfn.IFNA(VLOOKUP(A59,[5]進出口值表查詢結果!$C$11:$F$68,4,0),-[4]整車!$B$22)</f>
        <v>0</v>
      </c>
      <c r="Y59" s="420">
        <f>_xlfn.IFNA(VLOOKUP(A59,[5]進出口值表查詢結果!$C$11:$F$68,3,0),-[4]整車!$B$22)</f>
        <v>0</v>
      </c>
      <c r="Z59" s="414">
        <f t="shared" si="7"/>
        <v>490</v>
      </c>
      <c r="AA59" s="414">
        <f t="shared" si="8"/>
        <v>60262</v>
      </c>
    </row>
    <row r="60" spans="1:27">
      <c r="A60" s="457" t="s">
        <v>267</v>
      </c>
      <c r="B60" s="420">
        <v>0</v>
      </c>
      <c r="C60" s="420">
        <v>0</v>
      </c>
      <c r="D60" s="420">
        <v>523</v>
      </c>
      <c r="E60" s="420">
        <v>150033</v>
      </c>
      <c r="F60" s="420">
        <v>813</v>
      </c>
      <c r="G60" s="420">
        <v>183637</v>
      </c>
      <c r="H60" s="420">
        <v>317</v>
      </c>
      <c r="I60" s="420">
        <v>63199</v>
      </c>
      <c r="J60" s="421" t="s">
        <v>60</v>
      </c>
      <c r="K60" s="424" t="s">
        <v>60</v>
      </c>
      <c r="L60" s="420">
        <v>160</v>
      </c>
      <c r="M60" s="420">
        <v>66421</v>
      </c>
      <c r="N60" s="420">
        <v>0</v>
      </c>
      <c r="O60" s="420">
        <v>0</v>
      </c>
      <c r="P60" s="420">
        <v>0</v>
      </c>
      <c r="Q60" s="420">
        <v>0</v>
      </c>
      <c r="R60" s="420">
        <v>0</v>
      </c>
      <c r="S60" s="420">
        <v>0</v>
      </c>
      <c r="T60" s="420"/>
      <c r="U60" s="420"/>
      <c r="V60" s="420">
        <f>_xlfn.IFNA(VLOOKUP(A60,[3]進出口值表查詢結果!$C$11:$F$68,4,0),-[4]整車!$B$22)</f>
        <v>0</v>
      </c>
      <c r="W60" s="420">
        <f>_xlfn.IFNA(VLOOKUP(A60,[3]進出口值表查詢結果!$C$11:$F$68,3,0),-[4]整車!$B$22)</f>
        <v>0</v>
      </c>
      <c r="X60" s="420">
        <f>_xlfn.IFNA(VLOOKUP(A60,[5]進出口值表查詢結果!$C$11:$F$68,4,0),-[4]整車!$B$22)</f>
        <v>0</v>
      </c>
      <c r="Y60" s="420">
        <f>_xlfn.IFNA(VLOOKUP(A60,[5]進出口值表查詢結果!$C$11:$F$68,3,0),-[4]整車!$B$22)</f>
        <v>0</v>
      </c>
      <c r="Z60" s="414">
        <f t="shared" si="7"/>
        <v>1813</v>
      </c>
      <c r="AA60" s="414">
        <f t="shared" si="8"/>
        <v>463290</v>
      </c>
    </row>
    <row r="61" spans="1:27">
      <c r="A61" s="419" t="s">
        <v>268</v>
      </c>
      <c r="B61" s="420">
        <v>1370</v>
      </c>
      <c r="C61" s="420">
        <v>251116</v>
      </c>
      <c r="D61" s="420">
        <v>1982</v>
      </c>
      <c r="E61" s="420">
        <v>436276</v>
      </c>
      <c r="F61" s="420">
        <v>324</v>
      </c>
      <c r="G61" s="420">
        <v>53469</v>
      </c>
      <c r="H61" s="420">
        <v>496</v>
      </c>
      <c r="I61" s="420">
        <v>109871</v>
      </c>
      <c r="J61" s="421">
        <v>113</v>
      </c>
      <c r="K61" s="435">
        <v>38322</v>
      </c>
      <c r="L61" s="420">
        <v>0</v>
      </c>
      <c r="M61" s="420">
        <v>0</v>
      </c>
      <c r="N61" s="420">
        <v>0</v>
      </c>
      <c r="O61" s="420">
        <v>0</v>
      </c>
      <c r="P61" s="420">
        <v>0</v>
      </c>
      <c r="Q61" s="420">
        <v>0</v>
      </c>
      <c r="R61" s="420">
        <v>0</v>
      </c>
      <c r="S61" s="420">
        <v>0</v>
      </c>
      <c r="T61" s="420"/>
      <c r="U61" s="420"/>
      <c r="V61" s="420">
        <f>_xlfn.IFNA(VLOOKUP(A61,[3]進出口值表查詢結果!$C$11:$F$68,4,0),-[4]整車!$B$22)</f>
        <v>0</v>
      </c>
      <c r="W61" s="420">
        <f>_xlfn.IFNA(VLOOKUP(A61,[3]進出口值表查詢結果!$C$11:$F$68,3,0),-[4]整車!$B$22)</f>
        <v>0</v>
      </c>
      <c r="X61" s="420">
        <f>_xlfn.IFNA(VLOOKUP(A61,[5]進出口值表查詢結果!$C$11:$F$68,4,0),-[4]整車!$B$22)</f>
        <v>214</v>
      </c>
      <c r="Y61" s="420">
        <f>_xlfn.IFNA(VLOOKUP(A61,[5]進出口值表查詢結果!$C$11:$F$68,3,0),-[4]整車!$B$22)</f>
        <v>33520</v>
      </c>
      <c r="Z61" s="414">
        <f t="shared" si="7"/>
        <v>4499</v>
      </c>
      <c r="AA61" s="414">
        <f t="shared" si="8"/>
        <v>922574</v>
      </c>
    </row>
    <row r="62" spans="1:27">
      <c r="A62" s="457" t="s">
        <v>270</v>
      </c>
      <c r="B62" s="420">
        <v>70</v>
      </c>
      <c r="C62" s="420">
        <v>43452</v>
      </c>
      <c r="D62" s="420">
        <v>261</v>
      </c>
      <c r="E62" s="420">
        <v>64456</v>
      </c>
      <c r="F62" s="420">
        <v>18</v>
      </c>
      <c r="G62" s="420">
        <v>17756</v>
      </c>
      <c r="H62" s="420">
        <v>0</v>
      </c>
      <c r="I62" s="420">
        <v>0</v>
      </c>
      <c r="J62" s="421" t="s">
        <v>60</v>
      </c>
      <c r="K62" s="424" t="s">
        <v>60</v>
      </c>
      <c r="L62" s="420">
        <v>25</v>
      </c>
      <c r="M62" s="420">
        <v>23023</v>
      </c>
      <c r="N62" s="420">
        <v>0</v>
      </c>
      <c r="O62" s="420">
        <v>0</v>
      </c>
      <c r="P62" s="420">
        <v>0</v>
      </c>
      <c r="Q62" s="420">
        <v>0</v>
      </c>
      <c r="R62" s="420">
        <v>0</v>
      </c>
      <c r="S62" s="420">
        <v>0</v>
      </c>
      <c r="T62" s="420"/>
      <c r="U62" s="420"/>
      <c r="V62" s="420">
        <f>_xlfn.IFNA(VLOOKUP(A62,[3]進出口值表查詢結果!$C$11:$F$68,4,0),-[4]整車!$B$22)</f>
        <v>1</v>
      </c>
      <c r="W62" s="420">
        <f>_xlfn.IFNA(VLOOKUP(A62,[3]進出口值表查詢結果!$C$11:$F$68,3,0),-[4]整車!$B$22)</f>
        <v>3951</v>
      </c>
      <c r="X62" s="420">
        <f>_xlfn.IFNA(VLOOKUP(A62,[5]進出口值表查詢結果!$C$11:$F$68,4,0),-[4]整車!$B$22)</f>
        <v>355</v>
      </c>
      <c r="Y62" s="420">
        <f>_xlfn.IFNA(VLOOKUP(A62,[5]進出口值表查詢結果!$C$11:$F$68,3,0),-[4]整車!$B$22)</f>
        <v>93772</v>
      </c>
      <c r="Z62" s="414">
        <f t="shared" si="7"/>
        <v>730</v>
      </c>
      <c r="AA62" s="414">
        <f t="shared" si="8"/>
        <v>246410</v>
      </c>
    </row>
    <row r="63" spans="1:27">
      <c r="A63" s="460" t="s">
        <v>404</v>
      </c>
      <c r="B63" s="420">
        <v>0</v>
      </c>
      <c r="C63" s="420">
        <v>0</v>
      </c>
      <c r="D63" s="420"/>
      <c r="E63" s="420"/>
      <c r="F63" s="420">
        <v>80</v>
      </c>
      <c r="G63" s="420">
        <v>11981</v>
      </c>
      <c r="H63" s="420">
        <v>125</v>
      </c>
      <c r="I63" s="420">
        <v>14310</v>
      </c>
      <c r="J63" s="421">
        <v>100</v>
      </c>
      <c r="K63" s="424">
        <v>16037</v>
      </c>
      <c r="L63" s="420">
        <v>0</v>
      </c>
      <c r="M63" s="420">
        <v>0</v>
      </c>
      <c r="N63" s="420">
        <v>0</v>
      </c>
      <c r="O63" s="420">
        <v>0</v>
      </c>
      <c r="P63" s="420">
        <v>0</v>
      </c>
      <c r="Q63" s="420">
        <v>0</v>
      </c>
      <c r="R63" s="420">
        <v>0</v>
      </c>
      <c r="S63" s="420">
        <v>0</v>
      </c>
      <c r="T63" s="420">
        <v>125</v>
      </c>
      <c r="U63" s="420">
        <v>16317</v>
      </c>
      <c r="V63" s="420">
        <f>_xlfn.IFNA(VLOOKUP(A63,[3]進出口值表查詢結果!$C$11:$F$68,4,0),-[4]整車!$B$22)</f>
        <v>0</v>
      </c>
      <c r="W63" s="420">
        <f>_xlfn.IFNA(VLOOKUP(A63,[3]進出口值表查詢結果!$C$11:$F$68,3,0),-[4]整車!$B$22)</f>
        <v>0</v>
      </c>
      <c r="X63" s="420">
        <f>_xlfn.IFNA(VLOOKUP(A63,[5]進出口值表查詢結果!$C$11:$F$68,4,0),-[4]整車!$B$22)</f>
        <v>340</v>
      </c>
      <c r="Y63" s="420">
        <f>_xlfn.IFNA(VLOOKUP(A63,[5]進出口值表查詢結果!$C$11:$F$68,3,0),-[4]整車!$B$22)</f>
        <v>50840</v>
      </c>
      <c r="Z63" s="414">
        <f t="shared" si="7"/>
        <v>770</v>
      </c>
      <c r="AA63" s="414">
        <f t="shared" si="8"/>
        <v>109485</v>
      </c>
    </row>
    <row r="64" spans="1:27">
      <c r="A64" s="457" t="s">
        <v>191</v>
      </c>
      <c r="B64" s="420">
        <v>44</v>
      </c>
      <c r="C64" s="420">
        <v>6265</v>
      </c>
      <c r="D64" s="420"/>
      <c r="E64" s="420"/>
      <c r="F64" s="420">
        <v>0</v>
      </c>
      <c r="G64" s="420"/>
      <c r="H64" s="420">
        <v>0</v>
      </c>
      <c r="I64" s="420">
        <v>0</v>
      </c>
      <c r="J64" s="421">
        <v>74</v>
      </c>
      <c r="K64" s="424">
        <v>8920</v>
      </c>
      <c r="L64" s="420">
        <v>0</v>
      </c>
      <c r="M64" s="420">
        <v>0</v>
      </c>
      <c r="N64" s="420">
        <v>0</v>
      </c>
      <c r="O64" s="420">
        <v>0</v>
      </c>
      <c r="P64" s="420">
        <v>35</v>
      </c>
      <c r="Q64" s="420">
        <v>5625</v>
      </c>
      <c r="R64" s="420">
        <v>45</v>
      </c>
      <c r="S64" s="420">
        <v>4959</v>
      </c>
      <c r="T64" s="420">
        <v>42</v>
      </c>
      <c r="U64" s="420">
        <v>6127</v>
      </c>
      <c r="V64" s="420">
        <f>_xlfn.IFNA(VLOOKUP(A64,[3]進出口值表查詢結果!$C$11:$F$68,4,0),-[4]整車!$B$22)</f>
        <v>0</v>
      </c>
      <c r="W64" s="420">
        <f>_xlfn.IFNA(VLOOKUP(A64,[3]進出口值表查詢結果!$C$11:$F$68,3,0),-[4]整車!$B$22)</f>
        <v>0</v>
      </c>
      <c r="X64" s="420">
        <f>_xlfn.IFNA(VLOOKUP(A64,[5]進出口值表查詢結果!$C$11:$F$68,4,0),-[4]整車!$B$22)</f>
        <v>0</v>
      </c>
      <c r="Y64" s="420">
        <f>_xlfn.IFNA(VLOOKUP(A64,[5]進出口值表查詢結果!$C$11:$F$68,3,0),-[4]整車!$B$22)</f>
        <v>0</v>
      </c>
      <c r="Z64" s="414">
        <f t="shared" si="7"/>
        <v>240</v>
      </c>
      <c r="AA64" s="414">
        <f t="shared" si="8"/>
        <v>31896</v>
      </c>
    </row>
    <row r="65" spans="1:27">
      <c r="A65" s="457" t="s">
        <v>186</v>
      </c>
      <c r="B65" s="420">
        <v>0</v>
      </c>
      <c r="C65" s="420">
        <v>0</v>
      </c>
      <c r="D65" s="420"/>
      <c r="E65" s="420"/>
      <c r="F65" s="420">
        <v>20</v>
      </c>
      <c r="G65" s="420">
        <v>7667</v>
      </c>
      <c r="H65" s="420">
        <v>0</v>
      </c>
      <c r="I65" s="420">
        <v>0</v>
      </c>
      <c r="J65" s="421">
        <v>53</v>
      </c>
      <c r="K65" s="424">
        <v>6883</v>
      </c>
      <c r="L65" s="420">
        <v>0</v>
      </c>
      <c r="M65" s="420">
        <v>0</v>
      </c>
      <c r="N65" s="420">
        <v>0</v>
      </c>
      <c r="O65" s="420">
        <v>0</v>
      </c>
      <c r="P65" s="420">
        <v>0</v>
      </c>
      <c r="Q65" s="420">
        <v>0</v>
      </c>
      <c r="R65" s="420">
        <v>46</v>
      </c>
      <c r="S65" s="420">
        <v>5740</v>
      </c>
      <c r="T65" s="420"/>
      <c r="U65" s="420"/>
      <c r="V65" s="420">
        <f>_xlfn.IFNA(VLOOKUP(A65,[3]進出口值表查詢結果!$C$11:$F$68,4,0),-[4]整車!$B$22)</f>
        <v>53</v>
      </c>
      <c r="W65" s="420">
        <f>_xlfn.IFNA(VLOOKUP(A65,[3]進出口值表查詢結果!$C$11:$F$68,3,0),-[4]整車!$B$22)</f>
        <v>6170</v>
      </c>
      <c r="X65" s="420">
        <f>_xlfn.IFNA(VLOOKUP(A65,[5]進出口值表查詢結果!$C$11:$F$68,4,0),-[4]整車!$B$22)</f>
        <v>0</v>
      </c>
      <c r="Y65" s="420">
        <f>_xlfn.IFNA(VLOOKUP(A65,[5]進出口值表查詢結果!$C$11:$F$68,3,0),-[4]整車!$B$22)</f>
        <v>0</v>
      </c>
      <c r="Z65" s="414">
        <f t="shared" si="7"/>
        <v>172</v>
      </c>
      <c r="AA65" s="414">
        <f t="shared" si="8"/>
        <v>26460</v>
      </c>
    </row>
    <row r="66" spans="1:27">
      <c r="A66" s="457" t="s">
        <v>274</v>
      </c>
      <c r="B66" s="420">
        <v>16</v>
      </c>
      <c r="C66" s="420">
        <v>8064</v>
      </c>
      <c r="D66" s="420">
        <v>400</v>
      </c>
      <c r="E66" s="420">
        <v>74984</v>
      </c>
      <c r="F66" s="420">
        <v>130</v>
      </c>
      <c r="G66" s="420">
        <v>19515</v>
      </c>
      <c r="H66" s="420">
        <v>120</v>
      </c>
      <c r="I66" s="420">
        <v>19543</v>
      </c>
      <c r="J66" s="421">
        <v>235</v>
      </c>
      <c r="K66" s="424">
        <v>45740</v>
      </c>
      <c r="L66" s="420">
        <v>0</v>
      </c>
      <c r="M66" s="420">
        <v>0</v>
      </c>
      <c r="N66" s="420">
        <v>0</v>
      </c>
      <c r="O66" s="420">
        <v>0</v>
      </c>
      <c r="P66" s="420">
        <v>0</v>
      </c>
      <c r="Q66" s="420">
        <v>0</v>
      </c>
      <c r="R66" s="420">
        <v>0</v>
      </c>
      <c r="S66" s="420">
        <v>0</v>
      </c>
      <c r="T66" s="420"/>
      <c r="U66" s="420"/>
      <c r="V66" s="420">
        <f>_xlfn.IFNA(VLOOKUP(A66,[3]進出口值表查詢結果!$C$11:$F$68,4,0),-[4]整車!$B$22)</f>
        <v>0</v>
      </c>
      <c r="W66" s="420">
        <f>_xlfn.IFNA(VLOOKUP(A66,[3]進出口值表查詢結果!$C$11:$F$68,3,0),-[4]整車!$B$22)</f>
        <v>0</v>
      </c>
      <c r="X66" s="420">
        <f>_xlfn.IFNA(VLOOKUP(A66,[5]進出口值表查詢結果!$C$11:$F$68,4,0),-[4]整車!$B$22)</f>
        <v>0</v>
      </c>
      <c r="Y66" s="420">
        <f>_xlfn.IFNA(VLOOKUP(A66,[5]進出口值表查詢結果!$C$11:$F$68,3,0),-[4]整車!$B$22)</f>
        <v>0</v>
      </c>
      <c r="Z66" s="414">
        <f t="shared" si="7"/>
        <v>901</v>
      </c>
      <c r="AA66" s="414">
        <f t="shared" si="8"/>
        <v>167846</v>
      </c>
    </row>
    <row r="67" spans="1:27">
      <c r="A67" s="423"/>
      <c r="B67" s="420"/>
      <c r="C67" s="420"/>
      <c r="D67" s="420"/>
      <c r="E67" s="420"/>
      <c r="F67" s="420"/>
      <c r="G67" s="420"/>
      <c r="H67" s="420"/>
      <c r="I67" s="420"/>
      <c r="J67" s="421"/>
      <c r="K67" s="422"/>
      <c r="L67" s="420"/>
      <c r="M67" s="420"/>
      <c r="N67" s="420"/>
      <c r="O67" s="420"/>
      <c r="P67" s="420"/>
      <c r="Q67" s="420"/>
      <c r="R67" s="420"/>
      <c r="S67" s="420"/>
      <c r="T67" s="420"/>
      <c r="U67" s="420"/>
      <c r="V67" s="420"/>
      <c r="W67" s="420"/>
      <c r="X67" s="420"/>
      <c r="Y67" s="420"/>
      <c r="Z67" s="414"/>
      <c r="AA67" s="414"/>
    </row>
    <row r="68" spans="1:27">
      <c r="A68" s="436" t="s">
        <v>20</v>
      </c>
      <c r="B68" s="437">
        <f t="shared" ref="B68:G68" si="9">SUM(B69:B73)</f>
        <v>6047</v>
      </c>
      <c r="C68" s="437">
        <f t="shared" si="9"/>
        <v>3779240</v>
      </c>
      <c r="D68" s="437">
        <f t="shared" si="9"/>
        <v>4374</v>
      </c>
      <c r="E68" s="437">
        <f t="shared" si="9"/>
        <v>2793538</v>
      </c>
      <c r="F68" s="437">
        <f t="shared" si="9"/>
        <v>3335</v>
      </c>
      <c r="G68" s="437">
        <f t="shared" si="9"/>
        <v>1866843</v>
      </c>
      <c r="H68" s="437">
        <f>SUM(H69:H73)</f>
        <v>2480</v>
      </c>
      <c r="I68" s="437">
        <f>SUM(I69:I73)</f>
        <v>1512983</v>
      </c>
      <c r="J68" s="438">
        <f t="shared" ref="J68:O68" si="10">SUM(J69:J73)</f>
        <v>1816</v>
      </c>
      <c r="K68" s="439">
        <f t="shared" si="10"/>
        <v>1480084</v>
      </c>
      <c r="L68" s="437">
        <f t="shared" si="10"/>
        <v>1849</v>
      </c>
      <c r="M68" s="437">
        <f t="shared" si="10"/>
        <v>1617191</v>
      </c>
      <c r="N68" s="437">
        <f t="shared" si="10"/>
        <v>1838</v>
      </c>
      <c r="O68" s="437">
        <f t="shared" si="10"/>
        <v>1928770</v>
      </c>
      <c r="P68" s="437">
        <f>SUM(P69:P73)</f>
        <v>1960</v>
      </c>
      <c r="Q68" s="437">
        <f>SUM(Q69:Q73)</f>
        <v>1999119</v>
      </c>
      <c r="R68" s="437">
        <f t="shared" ref="R68:Y68" si="11">SUM(R69:R73)</f>
        <v>1097</v>
      </c>
      <c r="S68" s="437">
        <f t="shared" si="11"/>
        <v>1708965</v>
      </c>
      <c r="T68" s="437">
        <f t="shared" si="11"/>
        <v>2389</v>
      </c>
      <c r="U68" s="437">
        <f t="shared" si="11"/>
        <v>2156903</v>
      </c>
      <c r="V68" s="437">
        <f>SUM(V69:V73)</f>
        <v>1149</v>
      </c>
      <c r="W68" s="437">
        <f>SUM(W69:W73)</f>
        <v>1843745</v>
      </c>
      <c r="X68" s="437">
        <f t="shared" si="11"/>
        <v>3615</v>
      </c>
      <c r="Y68" s="437">
        <f t="shared" si="11"/>
        <v>4337331</v>
      </c>
      <c r="Z68" s="431">
        <f t="shared" ref="Z68:AA73" si="12">SUM(B68,D68,F68,H68,J68,L68,N68,P68,R68,T68,V68,X68)</f>
        <v>31949</v>
      </c>
      <c r="AA68" s="431">
        <f t="shared" si="12"/>
        <v>27024712</v>
      </c>
    </row>
    <row r="69" spans="1:27">
      <c r="A69" s="457" t="s">
        <v>184</v>
      </c>
      <c r="B69" s="420">
        <v>1857</v>
      </c>
      <c r="C69" s="420">
        <v>2017794</v>
      </c>
      <c r="D69" s="420">
        <v>1373</v>
      </c>
      <c r="E69" s="420">
        <v>1011526</v>
      </c>
      <c r="F69" s="420">
        <v>425</v>
      </c>
      <c r="G69" s="420">
        <v>428146</v>
      </c>
      <c r="H69" s="420">
        <v>671</v>
      </c>
      <c r="I69" s="420">
        <v>699536</v>
      </c>
      <c r="J69" s="421">
        <v>587</v>
      </c>
      <c r="K69" s="422">
        <v>1041998</v>
      </c>
      <c r="L69" s="420">
        <v>1055</v>
      </c>
      <c r="M69" s="420">
        <v>1243264</v>
      </c>
      <c r="N69" s="434">
        <v>947</v>
      </c>
      <c r="O69" s="434">
        <v>1493476</v>
      </c>
      <c r="P69" s="420">
        <v>1258</v>
      </c>
      <c r="Q69" s="420">
        <v>1726838</v>
      </c>
      <c r="R69" s="420">
        <v>988</v>
      </c>
      <c r="S69" s="420">
        <v>1565929</v>
      </c>
      <c r="T69" s="420">
        <v>2202</v>
      </c>
      <c r="U69" s="420">
        <v>2043237</v>
      </c>
      <c r="V69" s="420">
        <f>_xlfn.IFNA(VLOOKUP(A69,[3]進出口值表查詢結果!$C$11:$F$68,4,0),-[4]整車!$B$22)</f>
        <v>835</v>
      </c>
      <c r="W69" s="420">
        <f>_xlfn.IFNA(VLOOKUP(A69,[3]進出口值表查詢結果!$C$11:$F$68,3,0),-[4]整車!$B$22)</f>
        <v>1325166</v>
      </c>
      <c r="X69" s="420">
        <f>_xlfn.IFNA(VLOOKUP(A69,[5]進出口值表查詢結果!$C$11:$F$68,4,0),-[4]整車!$B$22)</f>
        <v>2736</v>
      </c>
      <c r="Y69" s="420">
        <f>_xlfn.IFNA(VLOOKUP(A69,[5]進出口值表查詢結果!$C$11:$F$68,3,0),-[4]整車!$B$22)</f>
        <v>3402098</v>
      </c>
      <c r="Z69" s="414">
        <f t="shared" si="12"/>
        <v>14934</v>
      </c>
      <c r="AA69" s="414">
        <f t="shared" si="12"/>
        <v>17999008</v>
      </c>
    </row>
    <row r="70" spans="1:27">
      <c r="A70" s="457" t="s">
        <v>275</v>
      </c>
      <c r="B70" s="420">
        <v>4127</v>
      </c>
      <c r="C70" s="420">
        <v>1691969</v>
      </c>
      <c r="D70" s="420">
        <v>2950</v>
      </c>
      <c r="E70" s="420">
        <v>1716256</v>
      </c>
      <c r="F70" s="420">
        <v>2760</v>
      </c>
      <c r="G70" s="420">
        <v>1417688</v>
      </c>
      <c r="H70" s="420">
        <v>1808</v>
      </c>
      <c r="I70" s="420">
        <v>811327</v>
      </c>
      <c r="J70" s="421">
        <v>1210</v>
      </c>
      <c r="K70" s="422">
        <v>402504</v>
      </c>
      <c r="L70" s="420">
        <v>780</v>
      </c>
      <c r="M70" s="420">
        <v>350268</v>
      </c>
      <c r="N70" s="434">
        <v>875</v>
      </c>
      <c r="O70" s="434">
        <v>407876</v>
      </c>
      <c r="P70" s="420">
        <v>700</v>
      </c>
      <c r="Q70" s="420">
        <v>267943</v>
      </c>
      <c r="R70" s="420">
        <v>108</v>
      </c>
      <c r="S70" s="420">
        <v>140862</v>
      </c>
      <c r="T70" s="420">
        <v>186</v>
      </c>
      <c r="U70" s="420">
        <v>111463</v>
      </c>
      <c r="V70" s="420">
        <f>_xlfn.IFNA(VLOOKUP(A70,[3]進出口值表查詢結果!$C$11:$F$68,4,0),-[4]整車!$B$22)</f>
        <v>314</v>
      </c>
      <c r="W70" s="420">
        <f>_xlfn.IFNA(VLOOKUP(A70,[3]進出口值表查詢結果!$C$11:$F$68,3,0),-[4]整車!$B$22)</f>
        <v>518579</v>
      </c>
      <c r="X70" s="420">
        <f>_xlfn.IFNA(VLOOKUP(A70,[5]進出口值表查詢結果!$C$11:$F$68,4,0),-[4]整車!$B$22)</f>
        <v>838</v>
      </c>
      <c r="Y70" s="420">
        <f>_xlfn.IFNA(VLOOKUP(A70,[5]進出口值表查詢結果!$C$11:$F$68,3,0),-[4]整車!$B$22)</f>
        <v>906262</v>
      </c>
      <c r="Z70" s="414">
        <f t="shared" si="12"/>
        <v>16656</v>
      </c>
      <c r="AA70" s="414">
        <f t="shared" si="12"/>
        <v>8742997</v>
      </c>
    </row>
    <row r="71" spans="1:27">
      <c r="A71" s="457" t="s">
        <v>276</v>
      </c>
      <c r="B71" s="420">
        <v>63</v>
      </c>
      <c r="C71" s="420">
        <v>69477</v>
      </c>
      <c r="D71" s="420">
        <v>51</v>
      </c>
      <c r="E71" s="420">
        <v>65756</v>
      </c>
      <c r="F71" s="420">
        <v>150</v>
      </c>
      <c r="G71" s="420">
        <v>21009</v>
      </c>
      <c r="H71" s="420">
        <v>1</v>
      </c>
      <c r="I71" s="420">
        <v>2120</v>
      </c>
      <c r="J71" s="421">
        <v>19</v>
      </c>
      <c r="K71" s="422">
        <v>35582</v>
      </c>
      <c r="L71" s="420">
        <v>14</v>
      </c>
      <c r="M71" s="420">
        <v>23659</v>
      </c>
      <c r="N71" s="434">
        <v>16</v>
      </c>
      <c r="O71" s="434">
        <v>27418</v>
      </c>
      <c r="P71" s="420">
        <v>2</v>
      </c>
      <c r="Q71" s="420">
        <v>4338</v>
      </c>
      <c r="R71" s="420">
        <v>1</v>
      </c>
      <c r="S71" s="420">
        <v>2174</v>
      </c>
      <c r="T71" s="420">
        <v>1</v>
      </c>
      <c r="U71" s="420">
        <v>2203</v>
      </c>
      <c r="V71" s="420">
        <f>_xlfn.IFNA(VLOOKUP(A71,[3]進出口值表查詢結果!$C$11:$F$68,4,0),-[4]整車!$B$22)</f>
        <v>0</v>
      </c>
      <c r="W71" s="420">
        <f>_xlfn.IFNA(VLOOKUP(A71,[3]進出口值表查詢結果!$C$11:$F$68,3,0),-[4]整車!$B$22)</f>
        <v>0</v>
      </c>
      <c r="X71" s="420">
        <f>_xlfn.IFNA(VLOOKUP(A71,[5]進出口值表查詢結果!$C$11:$F$68,4,0),-[4]整車!$B$22)</f>
        <v>41</v>
      </c>
      <c r="Y71" s="420">
        <f>_xlfn.IFNA(VLOOKUP(A71,[5]進出口值表查詢結果!$C$11:$F$68,3,0),-[4]整車!$B$22)</f>
        <v>28971</v>
      </c>
      <c r="Z71" s="414">
        <f t="shared" si="12"/>
        <v>359</v>
      </c>
      <c r="AA71" s="414">
        <f t="shared" si="12"/>
        <v>282707</v>
      </c>
    </row>
    <row r="72" spans="1:27">
      <c r="A72" s="457" t="s">
        <v>278</v>
      </c>
      <c r="B72" s="420">
        <v>0</v>
      </c>
      <c r="C72" s="420">
        <v>0</v>
      </c>
      <c r="D72" s="420"/>
      <c r="E72" s="420"/>
      <c r="F72" s="420">
        <v>0</v>
      </c>
      <c r="G72" s="420"/>
      <c r="H72" s="420">
        <v>0</v>
      </c>
      <c r="I72" s="420">
        <v>0</v>
      </c>
      <c r="J72" s="421" t="s">
        <v>60</v>
      </c>
      <c r="K72" s="424" t="s">
        <v>60</v>
      </c>
      <c r="L72" s="420">
        <v>0</v>
      </c>
      <c r="M72" s="420">
        <v>0</v>
      </c>
      <c r="N72" s="420">
        <v>0</v>
      </c>
      <c r="O72" s="420">
        <v>0</v>
      </c>
      <c r="P72" s="420">
        <v>0</v>
      </c>
      <c r="Q72" s="420">
        <v>0</v>
      </c>
      <c r="R72" s="420">
        <v>0</v>
      </c>
      <c r="S72" s="420">
        <v>0</v>
      </c>
      <c r="T72" s="420"/>
      <c r="U72" s="420"/>
      <c r="V72" s="420">
        <f>_xlfn.IFNA(VLOOKUP(A72,[3]進出口值表查詢結果!$C$11:$F$68,4,0),-[4]整車!$B$22)</f>
        <v>0</v>
      </c>
      <c r="W72" s="420">
        <f>_xlfn.IFNA(VLOOKUP(A72,[3]進出口值表查詢結果!$C$11:$F$68,3,0),-[4]整車!$B$22)</f>
        <v>0</v>
      </c>
      <c r="X72" s="420">
        <f>_xlfn.IFNA(VLOOKUP(A72,[5]進出口值表查詢結果!$C$11:$F$68,4,0),-[4]整車!$B$22)</f>
        <v>0</v>
      </c>
      <c r="Y72" s="420">
        <f>_xlfn.IFNA(VLOOKUP(A72,[5]進出口值表查詢結果!$C$11:$F$68,3,0),-[4]整車!$B$22)</f>
        <v>0</v>
      </c>
      <c r="Z72" s="414">
        <f t="shared" si="12"/>
        <v>0</v>
      </c>
      <c r="AA72" s="414">
        <f t="shared" si="12"/>
        <v>0</v>
      </c>
    </row>
    <row r="73" spans="1:27">
      <c r="A73" s="457" t="s">
        <v>277</v>
      </c>
      <c r="B73" s="420">
        <v>0</v>
      </c>
      <c r="C73" s="420">
        <v>0</v>
      </c>
      <c r="D73" s="420"/>
      <c r="E73" s="420"/>
      <c r="F73" s="420">
        <v>0</v>
      </c>
      <c r="G73" s="420"/>
      <c r="H73" s="420">
        <v>0</v>
      </c>
      <c r="I73" s="420">
        <v>0</v>
      </c>
      <c r="J73" s="421" t="s">
        <v>60</v>
      </c>
      <c r="K73" s="424" t="s">
        <v>60</v>
      </c>
      <c r="L73" s="420">
        <v>0</v>
      </c>
      <c r="M73" s="420">
        <v>0</v>
      </c>
      <c r="N73" s="420">
        <v>0</v>
      </c>
      <c r="O73" s="420">
        <v>0</v>
      </c>
      <c r="P73" s="420">
        <v>0</v>
      </c>
      <c r="Q73" s="420">
        <v>0</v>
      </c>
      <c r="R73" s="420">
        <v>0</v>
      </c>
      <c r="S73" s="420">
        <v>0</v>
      </c>
      <c r="T73" s="420"/>
      <c r="U73" s="420"/>
      <c r="V73" s="420">
        <f>_xlfn.IFNA(VLOOKUP(A73,[3]進出口值表查詢結果!$C$11:$F$68,4,0),-[4]整車!$B$22)</f>
        <v>0</v>
      </c>
      <c r="W73" s="420">
        <f>_xlfn.IFNA(VLOOKUP(A73,[3]進出口值表查詢結果!$C$11:$F$68,3,0),-[4]整車!$B$22)</f>
        <v>0</v>
      </c>
      <c r="X73" s="420">
        <f>_xlfn.IFNA(VLOOKUP(A73,[5]進出口值表查詢結果!$C$11:$F$68,4,0),-[4]整車!$B$22)</f>
        <v>0</v>
      </c>
      <c r="Y73" s="420">
        <f>_xlfn.IFNA(VLOOKUP(A73,[5]進出口值表查詢結果!$C$11:$F$68,3,0),-[4]整車!$B$22)</f>
        <v>0</v>
      </c>
      <c r="Z73" s="414">
        <f t="shared" si="12"/>
        <v>0</v>
      </c>
      <c r="AA73" s="414">
        <f t="shared" si="12"/>
        <v>0</v>
      </c>
    </row>
    <row r="74" spans="1:27">
      <c r="A74" s="423"/>
      <c r="B74" s="420"/>
      <c r="C74" s="420"/>
      <c r="D74" s="420"/>
      <c r="E74" s="420"/>
      <c r="F74" s="420"/>
      <c r="G74" s="420"/>
      <c r="H74" s="420"/>
      <c r="I74" s="420"/>
      <c r="J74" s="421"/>
      <c r="K74" s="422"/>
      <c r="L74" s="420"/>
      <c r="M74" s="420"/>
      <c r="N74" s="420"/>
      <c r="O74" s="420"/>
      <c r="P74" s="420"/>
      <c r="Q74" s="420"/>
      <c r="R74" s="420"/>
      <c r="S74" s="420"/>
      <c r="T74" s="420"/>
      <c r="U74" s="420"/>
      <c r="V74" s="420"/>
      <c r="W74" s="420"/>
      <c r="X74" s="420"/>
      <c r="Y74" s="420"/>
      <c r="Z74" s="414"/>
      <c r="AA74" s="414"/>
    </row>
    <row r="75" spans="1:27">
      <c r="A75" s="436" t="s">
        <v>143</v>
      </c>
      <c r="B75" s="437">
        <f t="shared" ref="B75:Y75" si="13">SUM(B76:B83)</f>
        <v>1775</v>
      </c>
      <c r="C75" s="437">
        <f t="shared" si="13"/>
        <v>791303</v>
      </c>
      <c r="D75" s="437">
        <f t="shared" si="13"/>
        <v>1901</v>
      </c>
      <c r="E75" s="437">
        <f t="shared" si="13"/>
        <v>631147</v>
      </c>
      <c r="F75" s="437">
        <f t="shared" si="13"/>
        <v>1325</v>
      </c>
      <c r="G75" s="437">
        <f t="shared" si="13"/>
        <v>919450</v>
      </c>
      <c r="H75" s="437">
        <f t="shared" si="13"/>
        <v>631</v>
      </c>
      <c r="I75" s="437">
        <f>SUM(I76:I83)</f>
        <v>220966</v>
      </c>
      <c r="J75" s="438">
        <f t="shared" si="13"/>
        <v>474</v>
      </c>
      <c r="K75" s="439">
        <f>SUM(K76:K83)</f>
        <v>186768</v>
      </c>
      <c r="L75" s="437">
        <f t="shared" si="13"/>
        <v>1046</v>
      </c>
      <c r="M75" s="437">
        <f t="shared" si="13"/>
        <v>357239</v>
      </c>
      <c r="N75" s="437">
        <f t="shared" si="13"/>
        <v>1359</v>
      </c>
      <c r="O75" s="437">
        <f t="shared" si="13"/>
        <v>836881</v>
      </c>
      <c r="P75" s="437">
        <f t="shared" si="13"/>
        <v>164</v>
      </c>
      <c r="Q75" s="437">
        <f t="shared" si="13"/>
        <v>201186</v>
      </c>
      <c r="R75" s="437">
        <f t="shared" si="13"/>
        <v>785</v>
      </c>
      <c r="S75" s="437">
        <f t="shared" si="13"/>
        <v>324287</v>
      </c>
      <c r="T75" s="437">
        <f t="shared" si="13"/>
        <v>2780</v>
      </c>
      <c r="U75" s="437">
        <f t="shared" si="13"/>
        <v>855146</v>
      </c>
      <c r="V75" s="437">
        <f>SUM(V76:V83)</f>
        <v>1929</v>
      </c>
      <c r="W75" s="437">
        <f>SUM(W76:W83)</f>
        <v>885513</v>
      </c>
      <c r="X75" s="437">
        <f t="shared" si="13"/>
        <v>3092</v>
      </c>
      <c r="Y75" s="437">
        <f t="shared" si="13"/>
        <v>1404864</v>
      </c>
      <c r="Z75" s="431">
        <f t="shared" ref="Z75:Z83" si="14">SUM(B75,D75,F75,H75,J75,L75,N75,P75,R75,T75,V75,X75)</f>
        <v>17261</v>
      </c>
      <c r="AA75" s="431">
        <f t="shared" ref="AA75:AA83" si="15">SUM(C75,E75,G75,I75,K75,M75,O75,Q75,S75,U75,W75,Y75)</f>
        <v>7614750</v>
      </c>
    </row>
    <row r="76" spans="1:27">
      <c r="A76" s="457" t="s">
        <v>280</v>
      </c>
      <c r="B76" s="420">
        <v>1579</v>
      </c>
      <c r="C76" s="420">
        <v>669877</v>
      </c>
      <c r="D76" s="420">
        <v>1436</v>
      </c>
      <c r="E76" s="420">
        <v>495570</v>
      </c>
      <c r="F76" s="420">
        <v>931</v>
      </c>
      <c r="G76" s="420">
        <v>702788</v>
      </c>
      <c r="H76" s="420">
        <v>631</v>
      </c>
      <c r="I76" s="420">
        <v>220966</v>
      </c>
      <c r="J76" s="421">
        <v>324</v>
      </c>
      <c r="K76" s="435">
        <v>164549</v>
      </c>
      <c r="L76" s="420">
        <v>815</v>
      </c>
      <c r="M76" s="420">
        <v>323962</v>
      </c>
      <c r="N76" s="434">
        <v>822</v>
      </c>
      <c r="O76" s="434">
        <v>518255</v>
      </c>
      <c r="P76" s="420">
        <v>119</v>
      </c>
      <c r="Q76" s="420">
        <v>179634</v>
      </c>
      <c r="R76" s="420">
        <v>495</v>
      </c>
      <c r="S76" s="420">
        <v>221230</v>
      </c>
      <c r="T76" s="420">
        <v>2780</v>
      </c>
      <c r="U76" s="420">
        <v>855146</v>
      </c>
      <c r="V76" s="420">
        <f>_xlfn.IFNA(VLOOKUP(A76,[3]進出口值表查詢結果!$C$11:$F$68,4,0),-[4]整車!$B$22)</f>
        <v>1812</v>
      </c>
      <c r="W76" s="420">
        <f>_xlfn.IFNA(VLOOKUP(A76,[3]進出口值表查詢結果!$C$11:$F$68,3,0),-[4]整車!$B$22)</f>
        <v>779724</v>
      </c>
      <c r="X76" s="420">
        <f>_xlfn.IFNA(VLOOKUP(A76,[5]進出口值表查詢結果!$C$11:$F$68,4,0),-[4]整車!$B$22)</f>
        <v>2631</v>
      </c>
      <c r="Y76" s="420">
        <f>_xlfn.IFNA(VLOOKUP(A76,[5]進出口值表查詢結果!$C$11:$F$68,3,0),-[4]整車!$B$22)</f>
        <v>1193493</v>
      </c>
      <c r="Z76" s="414">
        <f t="shared" si="14"/>
        <v>14375</v>
      </c>
      <c r="AA76" s="414">
        <f t="shared" si="15"/>
        <v>6325194</v>
      </c>
    </row>
    <row r="77" spans="1:27">
      <c r="A77" s="457" t="s">
        <v>281</v>
      </c>
      <c r="B77" s="420">
        <v>0</v>
      </c>
      <c r="C77" s="420">
        <v>0</v>
      </c>
      <c r="D77" s="420"/>
      <c r="E77" s="420"/>
      <c r="F77" s="420">
        <v>0</v>
      </c>
      <c r="G77" s="420"/>
      <c r="H77" s="420">
        <v>0</v>
      </c>
      <c r="I77" s="420">
        <v>0</v>
      </c>
      <c r="J77" s="421" t="s">
        <v>60</v>
      </c>
      <c r="K77" s="424" t="s">
        <v>60</v>
      </c>
      <c r="L77" s="420">
        <v>0</v>
      </c>
      <c r="M77" s="420">
        <v>0</v>
      </c>
      <c r="N77" s="420">
        <v>0</v>
      </c>
      <c r="O77" s="420">
        <v>0</v>
      </c>
      <c r="P77" s="420">
        <v>0</v>
      </c>
      <c r="Q77" s="420">
        <v>0</v>
      </c>
      <c r="R77" s="420">
        <v>0</v>
      </c>
      <c r="S77" s="420">
        <v>0</v>
      </c>
      <c r="T77" s="420"/>
      <c r="U77" s="420"/>
      <c r="V77" s="420">
        <f>_xlfn.IFNA(VLOOKUP(A77,[3]進出口值表查詢結果!$C$11:$F$68,4,0),-[4]整車!$B$22)</f>
        <v>0</v>
      </c>
      <c r="W77" s="420">
        <f>_xlfn.IFNA(VLOOKUP(A77,[3]進出口值表查詢結果!$C$11:$F$68,3,0),-[4]整車!$B$22)</f>
        <v>0</v>
      </c>
      <c r="X77" s="420">
        <f>_xlfn.IFNA(VLOOKUP(A77,[5]進出口值表查詢結果!$C$11:$F$68,4,0),-[4]整車!$B$22)</f>
        <v>0</v>
      </c>
      <c r="Y77" s="420">
        <f>_xlfn.IFNA(VLOOKUP(A77,[5]進出口值表查詢結果!$C$11:$F$68,3,0),-[4]整車!$B$22)</f>
        <v>0</v>
      </c>
      <c r="Z77" s="414">
        <f t="shared" si="14"/>
        <v>0</v>
      </c>
      <c r="AA77" s="414">
        <f t="shared" si="15"/>
        <v>0</v>
      </c>
    </row>
    <row r="78" spans="1:27">
      <c r="A78" s="457" t="s">
        <v>282</v>
      </c>
      <c r="B78" s="420"/>
      <c r="C78" s="420"/>
      <c r="D78" s="420"/>
      <c r="E78" s="420"/>
      <c r="F78" s="420">
        <v>0</v>
      </c>
      <c r="G78" s="420"/>
      <c r="H78" s="420">
        <v>0</v>
      </c>
      <c r="I78" s="420">
        <v>0</v>
      </c>
      <c r="J78" s="421" t="s">
        <v>60</v>
      </c>
      <c r="K78" s="424" t="s">
        <v>60</v>
      </c>
      <c r="L78" s="420">
        <v>0</v>
      </c>
      <c r="M78" s="420">
        <v>0</v>
      </c>
      <c r="N78" s="420">
        <v>0</v>
      </c>
      <c r="O78" s="420">
        <v>0</v>
      </c>
      <c r="P78" s="420">
        <v>0</v>
      </c>
      <c r="Q78" s="420">
        <v>0</v>
      </c>
      <c r="R78" s="420">
        <v>0</v>
      </c>
      <c r="S78" s="420">
        <v>0</v>
      </c>
      <c r="T78" s="420"/>
      <c r="U78" s="420"/>
      <c r="V78" s="420">
        <f>_xlfn.IFNA(VLOOKUP(A78,[3]進出口值表查詢結果!$C$11:$F$68,4,0),-[4]整車!$B$22)</f>
        <v>0</v>
      </c>
      <c r="W78" s="420">
        <f>_xlfn.IFNA(VLOOKUP(A78,[3]進出口值表查詢結果!$C$11:$F$68,3,0),-[4]整車!$B$22)</f>
        <v>0</v>
      </c>
      <c r="X78" s="420">
        <f>_xlfn.IFNA(VLOOKUP(A78,[5]進出口值表查詢結果!$C$11:$F$68,4,0),-[4]整車!$B$22)</f>
        <v>0</v>
      </c>
      <c r="Y78" s="420">
        <f>_xlfn.IFNA(VLOOKUP(A78,[5]進出口值表查詢結果!$C$11:$F$68,3,0),-[4]整車!$B$22)</f>
        <v>0</v>
      </c>
      <c r="Z78" s="414">
        <f t="shared" si="14"/>
        <v>0</v>
      </c>
      <c r="AA78" s="414">
        <f t="shared" si="15"/>
        <v>0</v>
      </c>
    </row>
    <row r="79" spans="1:27">
      <c r="A79" s="457" t="s">
        <v>283</v>
      </c>
      <c r="B79" s="420"/>
      <c r="C79" s="420"/>
      <c r="D79" s="420"/>
      <c r="E79" s="420"/>
      <c r="F79" s="420">
        <v>0</v>
      </c>
      <c r="G79" s="420"/>
      <c r="H79" s="420">
        <v>0</v>
      </c>
      <c r="I79" s="420">
        <v>0</v>
      </c>
      <c r="J79" s="421" t="s">
        <v>60</v>
      </c>
      <c r="K79" s="424" t="s">
        <v>60</v>
      </c>
      <c r="L79" s="420">
        <v>0</v>
      </c>
      <c r="M79" s="420">
        <v>0</v>
      </c>
      <c r="N79" s="420">
        <v>0</v>
      </c>
      <c r="O79" s="420">
        <v>0</v>
      </c>
      <c r="P79" s="420">
        <v>0</v>
      </c>
      <c r="Q79" s="420">
        <v>0</v>
      </c>
      <c r="R79" s="420">
        <v>0</v>
      </c>
      <c r="S79" s="420">
        <v>0</v>
      </c>
      <c r="T79" s="420"/>
      <c r="U79" s="420"/>
      <c r="V79" s="420">
        <f>_xlfn.IFNA(VLOOKUP(A79,[3]進出口值表查詢結果!$C$11:$F$68,4,0),-[4]整車!$B$22)</f>
        <v>0</v>
      </c>
      <c r="W79" s="420">
        <f>_xlfn.IFNA(VLOOKUP(A79,[3]進出口值表查詢結果!$C$11:$F$68,3,0),-[4]整車!$B$22)</f>
        <v>0</v>
      </c>
      <c r="X79" s="420">
        <f>_xlfn.IFNA(VLOOKUP(A79,[5]進出口值表查詢結果!$C$11:$F$68,4,0),-[4]整車!$B$22)</f>
        <v>0</v>
      </c>
      <c r="Y79" s="420">
        <f>_xlfn.IFNA(VLOOKUP(A79,[5]進出口值表查詢結果!$C$11:$F$68,3,0),-[4]整車!$B$22)</f>
        <v>0</v>
      </c>
      <c r="Z79" s="414">
        <f t="shared" si="14"/>
        <v>0</v>
      </c>
      <c r="AA79" s="414">
        <f t="shared" si="15"/>
        <v>0</v>
      </c>
    </row>
    <row r="80" spans="1:27">
      <c r="A80" s="457" t="s">
        <v>285</v>
      </c>
      <c r="B80" s="420">
        <v>196</v>
      </c>
      <c r="C80" s="420">
        <v>121426</v>
      </c>
      <c r="D80" s="420">
        <v>465</v>
      </c>
      <c r="E80" s="420">
        <v>135577</v>
      </c>
      <c r="F80" s="420">
        <v>339</v>
      </c>
      <c r="G80" s="420">
        <v>203320</v>
      </c>
      <c r="H80" s="420">
        <v>0</v>
      </c>
      <c r="I80" s="420">
        <v>0</v>
      </c>
      <c r="J80" s="421">
        <v>150</v>
      </c>
      <c r="K80" s="435">
        <v>22219</v>
      </c>
      <c r="L80" s="420">
        <v>231</v>
      </c>
      <c r="M80" s="420">
        <v>33277</v>
      </c>
      <c r="N80" s="434">
        <v>537</v>
      </c>
      <c r="O80" s="434">
        <v>318626</v>
      </c>
      <c r="P80" s="420">
        <v>0</v>
      </c>
      <c r="Q80" s="420">
        <v>0</v>
      </c>
      <c r="R80" s="420">
        <v>290</v>
      </c>
      <c r="S80" s="420">
        <v>103057</v>
      </c>
      <c r="T80" s="420"/>
      <c r="U80" s="420"/>
      <c r="V80" s="420">
        <f>_xlfn.IFNA(VLOOKUP(A80,[3]進出口值表查詢結果!$C$11:$F$68,4,0),-[4]整車!$B$22)</f>
        <v>117</v>
      </c>
      <c r="W80" s="420">
        <f>_xlfn.IFNA(VLOOKUP(A80,[3]進出口值表查詢結果!$C$11:$F$68,3,0),-[4]整車!$B$22)</f>
        <v>105789</v>
      </c>
      <c r="X80" s="420">
        <f>_xlfn.IFNA(VLOOKUP(A80,[5]進出口值表查詢結果!$C$11:$F$68,4,0),-[4]整車!$B$22)</f>
        <v>461</v>
      </c>
      <c r="Y80" s="420">
        <f>_xlfn.IFNA(VLOOKUP(A80,[5]進出口值表查詢結果!$C$11:$F$68,3,0),-[4]整車!$B$22)</f>
        <v>211371</v>
      </c>
      <c r="Z80" s="414">
        <f t="shared" si="14"/>
        <v>2786</v>
      </c>
      <c r="AA80" s="414">
        <f t="shared" si="15"/>
        <v>1254662</v>
      </c>
    </row>
    <row r="81" spans="1:27">
      <c r="A81" s="457" t="s">
        <v>287</v>
      </c>
      <c r="B81" s="420"/>
      <c r="C81" s="420"/>
      <c r="D81" s="420"/>
      <c r="E81" s="420"/>
      <c r="F81" s="420">
        <v>55</v>
      </c>
      <c r="G81" s="420">
        <v>13342</v>
      </c>
      <c r="H81" s="420">
        <v>0</v>
      </c>
      <c r="I81" s="420">
        <v>0</v>
      </c>
      <c r="J81" s="421" t="s">
        <v>60</v>
      </c>
      <c r="K81" s="424" t="s">
        <v>60</v>
      </c>
      <c r="L81" s="420">
        <v>0</v>
      </c>
      <c r="M81" s="420">
        <v>0</v>
      </c>
      <c r="N81" s="420">
        <v>0</v>
      </c>
      <c r="O81" s="420">
        <v>0</v>
      </c>
      <c r="P81" s="420">
        <v>45</v>
      </c>
      <c r="Q81" s="420">
        <v>21552</v>
      </c>
      <c r="R81" s="420">
        <v>0</v>
      </c>
      <c r="S81" s="420">
        <v>0</v>
      </c>
      <c r="T81" s="420"/>
      <c r="U81" s="420"/>
      <c r="V81" s="420">
        <f>_xlfn.IFNA(VLOOKUP(A81,[3]進出口值表查詢結果!$C$11:$F$68,4,0),-[4]整車!$B$22)</f>
        <v>0</v>
      </c>
      <c r="W81" s="420">
        <f>_xlfn.IFNA(VLOOKUP(A81,[3]進出口值表查詢結果!$C$11:$F$68,3,0),-[4]整車!$B$22)</f>
        <v>0</v>
      </c>
      <c r="X81" s="420">
        <f>_xlfn.IFNA(VLOOKUP(A81,[5]進出口值表查詢結果!$C$11:$F$68,4,0),-[4]整車!$B$22)</f>
        <v>0</v>
      </c>
      <c r="Y81" s="420">
        <f>_xlfn.IFNA(VLOOKUP(A81,[5]進出口值表查詢結果!$C$11:$F$68,3,0),-[4]整車!$B$22)</f>
        <v>0</v>
      </c>
      <c r="Z81" s="414">
        <f t="shared" si="14"/>
        <v>100</v>
      </c>
      <c r="AA81" s="414">
        <f t="shared" si="15"/>
        <v>34894</v>
      </c>
    </row>
    <row r="82" spans="1:27">
      <c r="A82" s="425" t="s">
        <v>286</v>
      </c>
      <c r="B82" s="420"/>
      <c r="C82" s="420"/>
      <c r="D82" s="420"/>
      <c r="E82" s="420"/>
      <c r="F82" s="420">
        <v>0</v>
      </c>
      <c r="G82" s="420"/>
      <c r="H82" s="420">
        <v>0</v>
      </c>
      <c r="I82" s="420">
        <v>0</v>
      </c>
      <c r="J82" s="421" t="s">
        <v>60</v>
      </c>
      <c r="K82" s="424" t="s">
        <v>60</v>
      </c>
      <c r="L82" s="420">
        <v>0</v>
      </c>
      <c r="M82" s="420">
        <v>0</v>
      </c>
      <c r="N82" s="420">
        <v>0</v>
      </c>
      <c r="O82" s="420">
        <v>0</v>
      </c>
      <c r="P82" s="420">
        <v>0</v>
      </c>
      <c r="Q82" s="420">
        <v>0</v>
      </c>
      <c r="R82" s="420">
        <v>0</v>
      </c>
      <c r="S82" s="420">
        <v>0</v>
      </c>
      <c r="T82" s="420"/>
      <c r="U82" s="420"/>
      <c r="V82" s="420">
        <f>_xlfn.IFNA(VLOOKUP(A82,[3]進出口值表查詢結果!$C$11:$F$68,4,0),-[4]整車!$B$22)</f>
        <v>0</v>
      </c>
      <c r="W82" s="420">
        <f>_xlfn.IFNA(VLOOKUP(A82,[3]進出口值表查詢結果!$C$11:$F$68,3,0),-[4]整車!$B$22)</f>
        <v>0</v>
      </c>
      <c r="X82" s="420">
        <f>_xlfn.IFNA(VLOOKUP(A82,[5]進出口值表查詢結果!$C$11:$F$68,4,0),-[4]整車!$B$22)</f>
        <v>0</v>
      </c>
      <c r="Y82" s="420">
        <f>_xlfn.IFNA(VLOOKUP(A82,[5]進出口值表查詢結果!$C$11:$F$68,3,0),-[4]整車!$B$22)</f>
        <v>0</v>
      </c>
      <c r="Z82" s="414">
        <f t="shared" si="14"/>
        <v>0</v>
      </c>
      <c r="AA82" s="414">
        <f t="shared" si="15"/>
        <v>0</v>
      </c>
    </row>
    <row r="83" spans="1:27">
      <c r="A83" s="425" t="s">
        <v>288</v>
      </c>
      <c r="B83" s="420"/>
      <c r="C83" s="420"/>
      <c r="D83" s="420"/>
      <c r="E83" s="420"/>
      <c r="F83" s="420">
        <v>0</v>
      </c>
      <c r="G83" s="420"/>
      <c r="H83" s="420">
        <v>0</v>
      </c>
      <c r="I83" s="420">
        <v>0</v>
      </c>
      <c r="J83" s="421" t="s">
        <v>60</v>
      </c>
      <c r="K83" s="424">
        <v>0</v>
      </c>
      <c r="L83" s="420">
        <v>0</v>
      </c>
      <c r="M83" s="420">
        <v>0</v>
      </c>
      <c r="N83" s="420">
        <v>0</v>
      </c>
      <c r="O83" s="420">
        <v>0</v>
      </c>
      <c r="P83" s="420">
        <v>0</v>
      </c>
      <c r="Q83" s="420">
        <v>0</v>
      </c>
      <c r="R83" s="420">
        <v>0</v>
      </c>
      <c r="S83" s="420">
        <v>0</v>
      </c>
      <c r="T83" s="420">
        <v>0</v>
      </c>
      <c r="U83" s="420">
        <v>0</v>
      </c>
      <c r="V83" s="420">
        <f>_xlfn.IFNA(VLOOKUP(A83,[3]進出口值表查詢結果!$C$11:$F$68,4,0),-[4]整車!$B$22)</f>
        <v>0</v>
      </c>
      <c r="W83" s="420">
        <f>_xlfn.IFNA(VLOOKUP(A83,[3]進出口值表查詢結果!$C$11:$F$68,3,0),-[4]整車!$B$22)</f>
        <v>0</v>
      </c>
      <c r="X83" s="420">
        <f>_xlfn.IFNA(VLOOKUP(A83,[5]進出口值表查詢結果!$C$11:$F$68,4,0),-[4]整車!$B$22)</f>
        <v>0</v>
      </c>
      <c r="Y83" s="420">
        <f>_xlfn.IFNA(VLOOKUP(A83,[5]進出口值表查詢結果!$C$11:$F$68,3,0),-[4]整車!$B$22)</f>
        <v>0</v>
      </c>
      <c r="Z83" s="414">
        <f t="shared" si="14"/>
        <v>0</v>
      </c>
      <c r="AA83" s="414">
        <f t="shared" si="15"/>
        <v>0</v>
      </c>
    </row>
    <row r="84" spans="1:27">
      <c r="A84" s="423"/>
      <c r="B84" s="420"/>
      <c r="C84" s="420"/>
      <c r="D84" s="420"/>
      <c r="E84" s="420"/>
      <c r="F84" s="420"/>
      <c r="G84" s="420"/>
      <c r="H84" s="420"/>
      <c r="I84" s="420"/>
      <c r="J84" s="421"/>
      <c r="K84" s="422"/>
      <c r="L84" s="420"/>
      <c r="M84" s="420"/>
      <c r="N84" s="420"/>
      <c r="O84" s="420"/>
      <c r="P84" s="420"/>
      <c r="Q84" s="420"/>
      <c r="R84" s="420"/>
      <c r="S84" s="420"/>
      <c r="T84" s="420"/>
      <c r="U84" s="420"/>
      <c r="V84" s="420"/>
      <c r="W84" s="420"/>
      <c r="X84" s="420"/>
      <c r="Y84" s="420"/>
      <c r="Z84" s="414"/>
      <c r="AA84" s="414"/>
    </row>
    <row r="85" spans="1:27">
      <c r="A85" s="440" t="s">
        <v>47</v>
      </c>
      <c r="B85" s="441">
        <f t="shared" ref="B85:Y85" si="16">SUM(B86:B95)</f>
        <v>4580</v>
      </c>
      <c r="C85" s="441">
        <f t="shared" si="16"/>
        <v>4189345</v>
      </c>
      <c r="D85" s="441">
        <f t="shared" si="16"/>
        <v>4981</v>
      </c>
      <c r="E85" s="441">
        <f t="shared" si="16"/>
        <v>3563822</v>
      </c>
      <c r="F85" s="441">
        <f t="shared" si="16"/>
        <v>4938</v>
      </c>
      <c r="G85" s="441">
        <f t="shared" si="16"/>
        <v>4345204</v>
      </c>
      <c r="H85" s="441">
        <f t="shared" si="16"/>
        <v>4040</v>
      </c>
      <c r="I85" s="441">
        <f t="shared" si="16"/>
        <v>2474863</v>
      </c>
      <c r="J85" s="442">
        <f t="shared" si="16"/>
        <v>3564</v>
      </c>
      <c r="K85" s="443">
        <f>SUM(K86:K95)</f>
        <v>3664756</v>
      </c>
      <c r="L85" s="441">
        <f t="shared" si="16"/>
        <v>6992</v>
      </c>
      <c r="M85" s="441">
        <f t="shared" si="16"/>
        <v>7057607</v>
      </c>
      <c r="N85" s="441">
        <f t="shared" si="16"/>
        <v>9419</v>
      </c>
      <c r="O85" s="441">
        <f t="shared" si="16"/>
        <v>9080258</v>
      </c>
      <c r="P85" s="441">
        <f t="shared" si="16"/>
        <v>18596</v>
      </c>
      <c r="Q85" s="441">
        <f t="shared" si="16"/>
        <v>13272347</v>
      </c>
      <c r="R85" s="441">
        <f t="shared" si="16"/>
        <v>16559</v>
      </c>
      <c r="S85" s="441">
        <f t="shared" si="16"/>
        <v>10409447</v>
      </c>
      <c r="T85" s="441">
        <f t="shared" si="16"/>
        <v>9960</v>
      </c>
      <c r="U85" s="441">
        <f t="shared" si="16"/>
        <v>6716352</v>
      </c>
      <c r="V85" s="441">
        <f>SUM(V86:V95)</f>
        <v>10701</v>
      </c>
      <c r="W85" s="441">
        <f>SUM(W86:W95)</f>
        <v>9725369</v>
      </c>
      <c r="X85" s="441">
        <f t="shared" si="16"/>
        <v>14699</v>
      </c>
      <c r="Y85" s="441">
        <f t="shared" si="16"/>
        <v>10190062</v>
      </c>
      <c r="Z85" s="427">
        <f t="shared" ref="Z85:Z95" si="17">SUM(B85,D85,F85,H85,J85,L85,N85,P85,R85,T85,V85,X85)</f>
        <v>109029</v>
      </c>
      <c r="AA85" s="427">
        <f t="shared" ref="AA85:AA95" si="18">SUM(C85,E85,G85,I85,K85,M85,O85,Q85,S85,U85,W85,Y85)</f>
        <v>84689432</v>
      </c>
    </row>
    <row r="86" spans="1:27">
      <c r="A86" s="457" t="s">
        <v>176</v>
      </c>
      <c r="B86" s="420">
        <v>4150</v>
      </c>
      <c r="C86" s="420">
        <v>3694908</v>
      </c>
      <c r="D86" s="420">
        <v>4032</v>
      </c>
      <c r="E86" s="420">
        <v>2636975</v>
      </c>
      <c r="F86" s="420">
        <v>4087</v>
      </c>
      <c r="G86" s="420">
        <v>3599502</v>
      </c>
      <c r="H86" s="420">
        <v>3562</v>
      </c>
      <c r="I86" s="420">
        <v>1835676</v>
      </c>
      <c r="J86" s="421">
        <v>2839</v>
      </c>
      <c r="K86" s="422">
        <v>2636423</v>
      </c>
      <c r="L86" s="420">
        <v>5737</v>
      </c>
      <c r="M86" s="420">
        <v>5468499</v>
      </c>
      <c r="N86" s="434">
        <v>7440</v>
      </c>
      <c r="O86" s="434">
        <v>6804533</v>
      </c>
      <c r="P86" s="420">
        <v>15662</v>
      </c>
      <c r="Q86" s="420">
        <v>10198676</v>
      </c>
      <c r="R86" s="420">
        <v>14530</v>
      </c>
      <c r="S86" s="420">
        <v>8126261</v>
      </c>
      <c r="T86" s="420">
        <v>8369</v>
      </c>
      <c r="U86" s="420">
        <v>5188023</v>
      </c>
      <c r="V86" s="420">
        <f>_xlfn.IFNA(VLOOKUP(A86,[3]進出口值表查詢結果!$C$11:$F$68,4,0),-[4]整車!$B$22)</f>
        <v>8737</v>
      </c>
      <c r="W86" s="420">
        <f>_xlfn.IFNA(VLOOKUP(A86,[3]進出口值表查詢結果!$C$11:$F$68,3,0),-[4]整車!$B$22)</f>
        <v>7518300</v>
      </c>
      <c r="X86" s="420">
        <f>_xlfn.IFNA(VLOOKUP(A86,[5]進出口值表查詢結果!$C$11:$F$68,4,0),-[4]整車!$B$22)</f>
        <v>12512</v>
      </c>
      <c r="Y86" s="420">
        <f>_xlfn.IFNA(VLOOKUP(A86,[5]進出口值表查詢結果!$C$11:$F$68,3,0),-[4]整車!$B$22)</f>
        <v>8168473</v>
      </c>
      <c r="Z86" s="414">
        <f t="shared" si="17"/>
        <v>91657</v>
      </c>
      <c r="AA86" s="414">
        <f t="shared" si="18"/>
        <v>65876249</v>
      </c>
    </row>
    <row r="87" spans="1:27">
      <c r="A87" s="457" t="s">
        <v>289</v>
      </c>
      <c r="B87" s="420"/>
      <c r="C87" s="420"/>
      <c r="D87" s="420"/>
      <c r="E87" s="420"/>
      <c r="F87" s="420">
        <v>0</v>
      </c>
      <c r="G87" s="420"/>
      <c r="H87" s="420">
        <v>0</v>
      </c>
      <c r="I87" s="420">
        <v>0</v>
      </c>
      <c r="J87" s="421">
        <v>0</v>
      </c>
      <c r="K87" s="424">
        <v>0</v>
      </c>
      <c r="L87" s="420">
        <v>0</v>
      </c>
      <c r="M87" s="420">
        <v>0</v>
      </c>
      <c r="N87" s="420">
        <v>0</v>
      </c>
      <c r="O87" s="420">
        <v>0</v>
      </c>
      <c r="P87" s="420">
        <v>0</v>
      </c>
      <c r="Q87" s="420">
        <v>0</v>
      </c>
      <c r="R87" s="420">
        <v>0</v>
      </c>
      <c r="S87" s="420">
        <v>0</v>
      </c>
      <c r="T87" s="420"/>
      <c r="U87" s="420"/>
      <c r="V87" s="420">
        <f>_xlfn.IFNA(VLOOKUP(A87,[3]進出口值表查詢結果!$C$11:$F$68,4,0),-[4]整車!$B$22)</f>
        <v>0</v>
      </c>
      <c r="W87" s="420">
        <f>_xlfn.IFNA(VLOOKUP(A87,[3]進出口值表查詢結果!$C$11:$F$68,3,0),-[4]整車!$B$22)</f>
        <v>0</v>
      </c>
      <c r="X87" s="420">
        <f>_xlfn.IFNA(VLOOKUP(A87,[5]進出口值表查詢結果!$C$11:$F$68,4,0),-[4]整車!$B$22)</f>
        <v>0</v>
      </c>
      <c r="Y87" s="420">
        <f>_xlfn.IFNA(VLOOKUP(A87,[5]進出口值表查詢結果!$C$11:$F$68,3,0),-[4]整車!$B$22)</f>
        <v>0</v>
      </c>
      <c r="Z87" s="414">
        <f t="shared" si="17"/>
        <v>0</v>
      </c>
      <c r="AA87" s="414">
        <f t="shared" si="18"/>
        <v>0</v>
      </c>
    </row>
    <row r="88" spans="1:27">
      <c r="A88" s="457" t="s">
        <v>175</v>
      </c>
      <c r="B88" s="420">
        <v>399</v>
      </c>
      <c r="C88" s="420">
        <v>445420</v>
      </c>
      <c r="D88" s="420">
        <v>924</v>
      </c>
      <c r="E88" s="420">
        <v>877548</v>
      </c>
      <c r="F88" s="420">
        <v>851</v>
      </c>
      <c r="G88" s="420">
        <v>745702</v>
      </c>
      <c r="H88" s="420">
        <v>478</v>
      </c>
      <c r="I88" s="420">
        <v>639187</v>
      </c>
      <c r="J88" s="421">
        <v>694</v>
      </c>
      <c r="K88" s="422">
        <v>961243</v>
      </c>
      <c r="L88" s="420">
        <v>1089</v>
      </c>
      <c r="M88" s="420">
        <v>1332104</v>
      </c>
      <c r="N88" s="434">
        <v>1942</v>
      </c>
      <c r="O88" s="434">
        <v>2269776</v>
      </c>
      <c r="P88" s="420">
        <v>2862</v>
      </c>
      <c r="Q88" s="420">
        <v>2963505</v>
      </c>
      <c r="R88" s="420">
        <v>2009</v>
      </c>
      <c r="S88" s="420">
        <v>2248234</v>
      </c>
      <c r="T88" s="420">
        <v>1565</v>
      </c>
      <c r="U88" s="420">
        <v>1482993</v>
      </c>
      <c r="V88" s="420">
        <f>_xlfn.IFNA(VLOOKUP(A88,[3]進出口值表查詢結果!$C$11:$F$68,4,0),-[4]整車!$B$22)</f>
        <v>1783</v>
      </c>
      <c r="W88" s="420">
        <f>_xlfn.IFNA(VLOOKUP(A88,[3]進出口值表查詢結果!$C$11:$F$68,3,0),-[4]整車!$B$22)</f>
        <v>1858681</v>
      </c>
      <c r="X88" s="420">
        <f>_xlfn.IFNA(VLOOKUP(A88,[5]進出口值表查詢結果!$C$11:$F$68,4,0),-[4]整車!$B$22)</f>
        <v>2182</v>
      </c>
      <c r="Y88" s="420">
        <f>_xlfn.IFNA(VLOOKUP(A88,[5]進出口值表查詢結果!$C$11:$F$68,3,0),-[4]整車!$B$22)</f>
        <v>2014871</v>
      </c>
      <c r="Z88" s="414">
        <f t="shared" si="17"/>
        <v>16778</v>
      </c>
      <c r="AA88" s="414">
        <f t="shared" si="18"/>
        <v>17839264</v>
      </c>
    </row>
    <row r="89" spans="1:27">
      <c r="A89" s="457" t="s">
        <v>292</v>
      </c>
      <c r="B89" s="420"/>
      <c r="C89" s="420"/>
      <c r="D89" s="420"/>
      <c r="E89" s="420"/>
      <c r="F89" s="420">
        <v>0</v>
      </c>
      <c r="G89" s="420"/>
      <c r="H89" s="420">
        <v>0</v>
      </c>
      <c r="I89" s="420">
        <v>0</v>
      </c>
      <c r="J89" s="421" t="s">
        <v>60</v>
      </c>
      <c r="K89" s="424">
        <v>0</v>
      </c>
      <c r="L89" s="420">
        <v>0</v>
      </c>
      <c r="M89" s="420">
        <v>0</v>
      </c>
      <c r="N89" s="420">
        <v>0</v>
      </c>
      <c r="O89" s="420">
        <v>0</v>
      </c>
      <c r="P89" s="420">
        <v>0</v>
      </c>
      <c r="Q89" s="420">
        <v>0</v>
      </c>
      <c r="R89" s="420">
        <v>0</v>
      </c>
      <c r="S89" s="420">
        <v>0</v>
      </c>
      <c r="T89" s="420"/>
      <c r="U89" s="420"/>
      <c r="V89" s="420">
        <f>_xlfn.IFNA(VLOOKUP(A89,[3]進出口值表查詢結果!$C$11:$F$68,4,0),-[4]整車!$B$22)</f>
        <v>0</v>
      </c>
      <c r="W89" s="420">
        <f>_xlfn.IFNA(VLOOKUP(A89,[3]進出口值表查詢結果!$C$11:$F$68,3,0),-[4]整車!$B$22)</f>
        <v>0</v>
      </c>
      <c r="X89" s="420">
        <f>_xlfn.IFNA(VLOOKUP(A89,[5]進出口值表查詢結果!$C$11:$F$68,4,0),-[4]整車!$B$22)</f>
        <v>0</v>
      </c>
      <c r="Y89" s="420">
        <f>_xlfn.IFNA(VLOOKUP(A89,[5]進出口值表查詢結果!$C$11:$F$68,3,0),-[4]整車!$B$22)</f>
        <v>0</v>
      </c>
      <c r="Z89" s="414">
        <f t="shared" si="17"/>
        <v>0</v>
      </c>
      <c r="AA89" s="414">
        <f t="shared" si="18"/>
        <v>0</v>
      </c>
    </row>
    <row r="90" spans="1:27">
      <c r="A90" s="457" t="s">
        <v>291</v>
      </c>
      <c r="B90" s="420">
        <v>5</v>
      </c>
      <c r="C90" s="420">
        <v>13029</v>
      </c>
      <c r="D90" s="420">
        <v>25</v>
      </c>
      <c r="E90" s="420">
        <v>49299</v>
      </c>
      <c r="F90" s="420">
        <v>0</v>
      </c>
      <c r="G90" s="420"/>
      <c r="H90" s="420">
        <v>0</v>
      </c>
      <c r="I90" s="420">
        <v>0</v>
      </c>
      <c r="J90" s="421">
        <v>31</v>
      </c>
      <c r="K90" s="422">
        <v>67090</v>
      </c>
      <c r="L90" s="420">
        <v>166</v>
      </c>
      <c r="M90" s="420">
        <v>257004</v>
      </c>
      <c r="N90" s="434">
        <v>2</v>
      </c>
      <c r="O90" s="420">
        <v>2535</v>
      </c>
      <c r="P90" s="420">
        <v>72</v>
      </c>
      <c r="Q90" s="420">
        <v>110166</v>
      </c>
      <c r="R90" s="420">
        <v>20</v>
      </c>
      <c r="S90" s="420">
        <v>34952</v>
      </c>
      <c r="T90" s="420">
        <v>26</v>
      </c>
      <c r="U90" s="420">
        <v>45336</v>
      </c>
      <c r="V90" s="420">
        <f>_xlfn.IFNA(VLOOKUP(A90,[3]進出口值表查詢結果!$C$11:$F$68,4,0),-[4]整車!$B$22)</f>
        <v>156</v>
      </c>
      <c r="W90" s="420">
        <f>_xlfn.IFNA(VLOOKUP(A90,[3]進出口值表查詢結果!$C$11:$F$68,3,0),-[4]整車!$B$22)</f>
        <v>316499</v>
      </c>
      <c r="X90" s="420">
        <f>_xlfn.IFNA(VLOOKUP(A90,[5]進出口值表查詢結果!$C$11:$F$68,4,0),-[4]整車!$B$22)</f>
        <v>5</v>
      </c>
      <c r="Y90" s="420">
        <f>_xlfn.IFNA(VLOOKUP(A90,[5]進出口值表查詢結果!$C$11:$F$68,3,0),-[4]整車!$B$22)</f>
        <v>6718</v>
      </c>
      <c r="Z90" s="414">
        <f t="shared" si="17"/>
        <v>508</v>
      </c>
      <c r="AA90" s="414">
        <f t="shared" si="18"/>
        <v>902628</v>
      </c>
    </row>
    <row r="91" spans="1:27">
      <c r="A91" s="457" t="s">
        <v>293</v>
      </c>
      <c r="B91" s="420"/>
      <c r="C91" s="420"/>
      <c r="D91" s="420"/>
      <c r="E91" s="420"/>
      <c r="F91" s="420">
        <v>0</v>
      </c>
      <c r="G91" s="420"/>
      <c r="H91" s="420">
        <v>0</v>
      </c>
      <c r="I91" s="420">
        <v>0</v>
      </c>
      <c r="J91" s="421" t="s">
        <v>60</v>
      </c>
      <c r="K91" s="424">
        <v>0</v>
      </c>
      <c r="L91" s="420">
        <v>0</v>
      </c>
      <c r="M91" s="420">
        <v>0</v>
      </c>
      <c r="N91" s="420">
        <v>0</v>
      </c>
      <c r="O91" s="420">
        <v>0</v>
      </c>
      <c r="P91" s="420">
        <v>0</v>
      </c>
      <c r="Q91" s="420">
        <v>0</v>
      </c>
      <c r="R91" s="420">
        <v>0</v>
      </c>
      <c r="S91" s="420">
        <v>0</v>
      </c>
      <c r="T91" s="420"/>
      <c r="U91" s="420"/>
      <c r="V91" s="420">
        <f>_xlfn.IFNA(VLOOKUP(A91,[3]進出口值表查詢結果!$C$11:$F$68,4,0),-[4]整車!$B$22)</f>
        <v>0</v>
      </c>
      <c r="W91" s="420">
        <f>_xlfn.IFNA(VLOOKUP(A91,[3]進出口值表查詢結果!$C$11:$F$68,3,0),-[4]整車!$B$22)</f>
        <v>0</v>
      </c>
      <c r="X91" s="420">
        <f>_xlfn.IFNA(VLOOKUP(A91,[5]進出口值表查詢結果!$C$11:$F$68,4,0),-[4]整車!$B$22)</f>
        <v>0</v>
      </c>
      <c r="Y91" s="420">
        <f>_xlfn.IFNA(VLOOKUP(A91,[5]進出口值表查詢結果!$C$11:$F$68,3,0),-[4]整車!$B$22)</f>
        <v>0</v>
      </c>
      <c r="Z91" s="414">
        <f t="shared" si="17"/>
        <v>0</v>
      </c>
      <c r="AA91" s="414">
        <f t="shared" si="18"/>
        <v>0</v>
      </c>
    </row>
    <row r="92" spans="1:27">
      <c r="A92" s="457" t="s">
        <v>395</v>
      </c>
      <c r="B92" s="420">
        <v>26</v>
      </c>
      <c r="C92" s="420">
        <v>35988</v>
      </c>
      <c r="D92" s="420"/>
      <c r="E92" s="420"/>
      <c r="F92" s="420">
        <v>0</v>
      </c>
      <c r="G92" s="420"/>
      <c r="H92" s="420">
        <v>0</v>
      </c>
      <c r="I92" s="420">
        <v>0</v>
      </c>
      <c r="J92" s="421" t="s">
        <v>60</v>
      </c>
      <c r="K92" s="424">
        <v>0</v>
      </c>
      <c r="L92" s="420">
        <v>0</v>
      </c>
      <c r="M92" s="420">
        <v>0</v>
      </c>
      <c r="N92" s="420">
        <v>0</v>
      </c>
      <c r="O92" s="420">
        <v>0</v>
      </c>
      <c r="P92" s="420">
        <v>0</v>
      </c>
      <c r="Q92" s="420">
        <v>0</v>
      </c>
      <c r="R92" s="420">
        <v>0</v>
      </c>
      <c r="S92" s="420">
        <v>0</v>
      </c>
      <c r="T92" s="420"/>
      <c r="U92" s="420"/>
      <c r="V92" s="420">
        <f>_xlfn.IFNA(VLOOKUP(A92,[3]進出口值表查詢結果!$C$11:$F$68,4,0),-[4]整車!$B$22)</f>
        <v>25</v>
      </c>
      <c r="W92" s="420">
        <f>_xlfn.IFNA(VLOOKUP(A92,[3]進出口值表查詢結果!$C$11:$F$68,3,0),-[4]整車!$B$22)</f>
        <v>31889</v>
      </c>
      <c r="X92" s="420">
        <f>_xlfn.IFNA(VLOOKUP(A92,[5]進出口值表查詢結果!$C$11:$F$68,4,0),-[4]整車!$B$22)</f>
        <v>0</v>
      </c>
      <c r="Y92" s="420">
        <f>_xlfn.IFNA(VLOOKUP(A92,[5]進出口值表查詢結果!$C$11:$F$68,3,0),-[4]整車!$B$22)</f>
        <v>0</v>
      </c>
      <c r="Z92" s="414">
        <f t="shared" si="17"/>
        <v>51</v>
      </c>
      <c r="AA92" s="414">
        <f t="shared" si="18"/>
        <v>67877</v>
      </c>
    </row>
    <row r="93" spans="1:27">
      <c r="A93" s="457" t="s">
        <v>295</v>
      </c>
      <c r="B93" s="420"/>
      <c r="C93" s="420"/>
      <c r="D93" s="420"/>
      <c r="E93" s="420"/>
      <c r="F93" s="420">
        <v>0</v>
      </c>
      <c r="G93" s="420"/>
      <c r="H93" s="420">
        <v>0</v>
      </c>
      <c r="I93" s="420">
        <v>0</v>
      </c>
      <c r="J93" s="421" t="s">
        <v>60</v>
      </c>
      <c r="K93" s="424">
        <v>0</v>
      </c>
      <c r="L93" s="420">
        <v>0</v>
      </c>
      <c r="M93" s="420">
        <v>0</v>
      </c>
      <c r="N93" s="434">
        <v>35</v>
      </c>
      <c r="O93" s="434">
        <v>3414</v>
      </c>
      <c r="P93" s="420">
        <v>0</v>
      </c>
      <c r="Q93" s="420">
        <v>0</v>
      </c>
      <c r="R93" s="420">
        <v>0</v>
      </c>
      <c r="S93" s="420">
        <v>0</v>
      </c>
      <c r="T93" s="420"/>
      <c r="U93" s="420"/>
      <c r="V93" s="420">
        <f>_xlfn.IFNA(VLOOKUP(A93,[3]進出口值表查詢結果!$C$11:$F$68,4,0),-[4]整車!$B$22)</f>
        <v>0</v>
      </c>
      <c r="W93" s="420">
        <f>_xlfn.IFNA(VLOOKUP(A93,[3]進出口值表查詢結果!$C$11:$F$68,3,0),-[4]整車!$B$22)</f>
        <v>0</v>
      </c>
      <c r="X93" s="420">
        <f>_xlfn.IFNA(VLOOKUP(A93,[5]進出口值表查詢結果!$C$11:$F$68,4,0),-[4]整車!$B$22)</f>
        <v>0</v>
      </c>
      <c r="Y93" s="420">
        <f>_xlfn.IFNA(VLOOKUP(A93,[5]進出口值表查詢結果!$C$11:$F$68,3,0),-[4]整車!$B$22)</f>
        <v>0</v>
      </c>
      <c r="Z93" s="414">
        <f t="shared" si="17"/>
        <v>35</v>
      </c>
      <c r="AA93" s="414">
        <f t="shared" si="18"/>
        <v>3414</v>
      </c>
    </row>
    <row r="94" spans="1:27">
      <c r="A94" s="457" t="s">
        <v>294</v>
      </c>
      <c r="B94" s="420"/>
      <c r="C94" s="420"/>
      <c r="D94" s="420"/>
      <c r="E94" s="420"/>
      <c r="F94" s="420">
        <v>0</v>
      </c>
      <c r="G94" s="420"/>
      <c r="H94" s="420">
        <v>0</v>
      </c>
      <c r="I94" s="420">
        <v>0</v>
      </c>
      <c r="J94" s="421" t="s">
        <v>60</v>
      </c>
      <c r="K94" s="424">
        <v>0</v>
      </c>
      <c r="L94" s="420">
        <v>0</v>
      </c>
      <c r="M94" s="420">
        <v>0</v>
      </c>
      <c r="N94" s="420">
        <v>0</v>
      </c>
      <c r="O94" s="420">
        <v>0</v>
      </c>
      <c r="P94" s="420">
        <v>0</v>
      </c>
      <c r="Q94" s="420">
        <v>0</v>
      </c>
      <c r="R94" s="420">
        <v>0</v>
      </c>
      <c r="S94" s="420">
        <v>0</v>
      </c>
      <c r="T94" s="420"/>
      <c r="U94" s="420"/>
      <c r="V94" s="420">
        <f>_xlfn.IFNA(VLOOKUP(A94,[3]進出口值表查詢結果!$C$11:$F$68,4,0),-[4]整車!$B$22)</f>
        <v>0</v>
      </c>
      <c r="W94" s="420">
        <f>_xlfn.IFNA(VLOOKUP(A94,[3]進出口值表查詢結果!$C$11:$F$68,3,0),-[4]整車!$B$22)</f>
        <v>0</v>
      </c>
      <c r="X94" s="420">
        <f>_xlfn.IFNA(VLOOKUP(A94,[5]進出口值表查詢結果!$C$11:$F$68,4,0),-[4]整車!$B$22)</f>
        <v>0</v>
      </c>
      <c r="Y94" s="420">
        <f>_xlfn.IFNA(VLOOKUP(A94,[5]進出口值表查詢結果!$C$11:$F$68,3,0),-[4]整車!$B$22)</f>
        <v>0</v>
      </c>
      <c r="Z94" s="414">
        <f t="shared" si="17"/>
        <v>0</v>
      </c>
      <c r="AA94" s="414">
        <f t="shared" si="18"/>
        <v>0</v>
      </c>
    </row>
    <row r="95" spans="1:27">
      <c r="A95" s="459" t="s">
        <v>296</v>
      </c>
      <c r="B95" s="414"/>
      <c r="C95" s="414"/>
      <c r="D95" s="414"/>
      <c r="E95" s="420"/>
      <c r="F95" s="414">
        <v>0</v>
      </c>
      <c r="G95" s="414"/>
      <c r="H95" s="420">
        <v>0</v>
      </c>
      <c r="I95" s="420">
        <v>0</v>
      </c>
      <c r="J95" s="407" t="s">
        <v>60</v>
      </c>
      <c r="K95" s="424">
        <v>0</v>
      </c>
      <c r="L95" s="414">
        <v>0</v>
      </c>
      <c r="M95" s="414">
        <v>0</v>
      </c>
      <c r="N95" s="414">
        <v>0</v>
      </c>
      <c r="O95" s="414">
        <v>0</v>
      </c>
      <c r="P95" s="420">
        <v>0</v>
      </c>
      <c r="Q95" s="420">
        <v>0</v>
      </c>
      <c r="R95" s="420">
        <v>0</v>
      </c>
      <c r="S95" s="420">
        <v>0</v>
      </c>
      <c r="T95" s="414"/>
      <c r="U95" s="414"/>
      <c r="V95" s="420">
        <f>_xlfn.IFNA(VLOOKUP(A95,[3]進出口值表查詢結果!$C$11:$F$68,4,0),-[4]整車!$B$22)</f>
        <v>0</v>
      </c>
      <c r="W95" s="420">
        <f>_xlfn.IFNA(VLOOKUP(A95,[3]進出口值表查詢結果!$C$11:$F$68,3,0),-[4]整車!$B$22)</f>
        <v>0</v>
      </c>
      <c r="X95" s="420">
        <f>_xlfn.IFNA(VLOOKUP(A95,[5]進出口值表查詢結果!$C$11:$F$68,4,0),-[4]整車!$B$22)</f>
        <v>0</v>
      </c>
      <c r="Y95" s="420">
        <f>_xlfn.IFNA(VLOOKUP(A95,[5]進出口值表查詢結果!$C$11:$F$68,3,0),-[4]整車!$B$22)</f>
        <v>0</v>
      </c>
      <c r="Z95" s="414">
        <f t="shared" si="17"/>
        <v>0</v>
      </c>
      <c r="AA95" s="414">
        <f t="shared" si="18"/>
        <v>0</v>
      </c>
    </row>
    <row r="96" spans="1:27">
      <c r="A96" s="413"/>
      <c r="B96" s="414"/>
      <c r="C96" s="414"/>
      <c r="D96" s="414"/>
      <c r="E96" s="414"/>
      <c r="F96" s="414"/>
      <c r="G96" s="414"/>
      <c r="H96" s="414"/>
      <c r="I96" s="414"/>
      <c r="J96" s="407"/>
      <c r="K96" s="408"/>
      <c r="L96" s="414"/>
      <c r="M96" s="414"/>
      <c r="N96" s="414"/>
      <c r="O96" s="414"/>
      <c r="P96" s="414"/>
      <c r="Q96" s="414"/>
      <c r="R96" s="414"/>
      <c r="S96" s="414"/>
      <c r="T96" s="414"/>
      <c r="U96" s="414"/>
      <c r="V96" s="414"/>
      <c r="W96" s="414"/>
      <c r="X96" s="414"/>
      <c r="Y96" s="414"/>
      <c r="Z96" s="414"/>
      <c r="AA96" s="414"/>
    </row>
    <row r="97" spans="1:27">
      <c r="A97" s="440" t="s">
        <v>144</v>
      </c>
      <c r="B97" s="441">
        <f t="shared" ref="B97:Y97" si="19">SUM(B98:B100)</f>
        <v>52798</v>
      </c>
      <c r="C97" s="441">
        <f t="shared" si="19"/>
        <v>33121696</v>
      </c>
      <c r="D97" s="441">
        <f t="shared" si="19"/>
        <v>50400</v>
      </c>
      <c r="E97" s="441">
        <f t="shared" si="19"/>
        <v>31534279</v>
      </c>
      <c r="F97" s="441">
        <f t="shared" si="19"/>
        <v>40988</v>
      </c>
      <c r="G97" s="441">
        <f t="shared" si="19"/>
        <v>23973578</v>
      </c>
      <c r="H97" s="441">
        <f t="shared" si="19"/>
        <v>42311</v>
      </c>
      <c r="I97" s="441">
        <f t="shared" si="19"/>
        <v>22157100</v>
      </c>
      <c r="J97" s="442">
        <f t="shared" si="19"/>
        <v>68862</v>
      </c>
      <c r="K97" s="443">
        <f t="shared" si="19"/>
        <v>39539255</v>
      </c>
      <c r="L97" s="441">
        <f t="shared" si="19"/>
        <v>61547</v>
      </c>
      <c r="M97" s="441">
        <f t="shared" si="19"/>
        <v>41765283</v>
      </c>
      <c r="N97" s="441">
        <f t="shared" si="19"/>
        <v>57860</v>
      </c>
      <c r="O97" s="441">
        <f t="shared" si="19"/>
        <v>47576440</v>
      </c>
      <c r="P97" s="441">
        <f t="shared" si="19"/>
        <v>70020</v>
      </c>
      <c r="Q97" s="441">
        <f t="shared" si="19"/>
        <v>47975910</v>
      </c>
      <c r="R97" s="441">
        <f t="shared" si="19"/>
        <v>57029</v>
      </c>
      <c r="S97" s="441">
        <f t="shared" si="19"/>
        <v>32139611</v>
      </c>
      <c r="T97" s="441">
        <f t="shared" si="19"/>
        <v>68638</v>
      </c>
      <c r="U97" s="441">
        <f t="shared" si="19"/>
        <v>38723065</v>
      </c>
      <c r="V97" s="441">
        <f>SUM(V98:V100)</f>
        <v>76863</v>
      </c>
      <c r="W97" s="441">
        <f>SUM(W98:W100)</f>
        <v>36987555</v>
      </c>
      <c r="X97" s="441">
        <f t="shared" si="19"/>
        <v>64518</v>
      </c>
      <c r="Y97" s="441">
        <f t="shared" si="19"/>
        <v>35209517</v>
      </c>
      <c r="Z97" s="427">
        <f t="shared" ref="Z97:AA100" si="20">SUM(B97,D97,F97,H97,J97,L97,N97,P97,R97,T97,V97,X97)</f>
        <v>711834</v>
      </c>
      <c r="AA97" s="427">
        <f t="shared" si="20"/>
        <v>430703289</v>
      </c>
    </row>
    <row r="98" spans="1:27">
      <c r="A98" s="457" t="s">
        <v>164</v>
      </c>
      <c r="B98" s="420">
        <v>48120</v>
      </c>
      <c r="C98" s="420">
        <v>29498633</v>
      </c>
      <c r="D98" s="420">
        <v>44184</v>
      </c>
      <c r="E98" s="420">
        <v>25012824</v>
      </c>
      <c r="F98" s="420">
        <v>37364</v>
      </c>
      <c r="G98" s="420">
        <v>20911414</v>
      </c>
      <c r="H98" s="420">
        <v>40429</v>
      </c>
      <c r="I98" s="420">
        <v>20039545</v>
      </c>
      <c r="J98" s="421">
        <v>65721</v>
      </c>
      <c r="K98" s="422">
        <v>36235280</v>
      </c>
      <c r="L98" s="420">
        <v>57262</v>
      </c>
      <c r="M98" s="420">
        <v>37300973</v>
      </c>
      <c r="N98" s="420">
        <v>52826</v>
      </c>
      <c r="O98" s="420">
        <v>41788643</v>
      </c>
      <c r="P98" s="420">
        <v>65538</v>
      </c>
      <c r="Q98" s="420">
        <v>42663542</v>
      </c>
      <c r="R98" s="420">
        <v>54118</v>
      </c>
      <c r="S98" s="420">
        <v>29005811</v>
      </c>
      <c r="T98" s="420">
        <v>65331</v>
      </c>
      <c r="U98" s="420">
        <v>34634631</v>
      </c>
      <c r="V98" s="420">
        <f>_xlfn.IFNA(VLOOKUP(A98,[3]進出口值表查詢結果!$C$11:$F$68,4,0),-[4]整車!$B$22)</f>
        <v>73370</v>
      </c>
      <c r="W98" s="420">
        <f>_xlfn.IFNA(VLOOKUP(A98,[3]進出口值表查詢結果!$C$11:$F$68,3,0),-[4]整車!$B$22)</f>
        <v>33547174</v>
      </c>
      <c r="X98" s="420">
        <f>_xlfn.IFNA(VLOOKUP(A98,[5]進出口值表查詢結果!$C$11:$F$68,4,0),-[4]整車!$B$22)</f>
        <v>60970</v>
      </c>
      <c r="Y98" s="420">
        <f>_xlfn.IFNA(VLOOKUP(A98,[5]進出口值表查詢結果!$C$11:$F$68,3,0),-[4]整車!$B$22)</f>
        <v>32188211</v>
      </c>
      <c r="Z98" s="414">
        <f t="shared" si="20"/>
        <v>665233</v>
      </c>
      <c r="AA98" s="414">
        <f t="shared" si="20"/>
        <v>382826681</v>
      </c>
    </row>
    <row r="99" spans="1:27">
      <c r="A99" s="457" t="s">
        <v>174</v>
      </c>
      <c r="B99" s="420">
        <v>4285</v>
      </c>
      <c r="C99" s="420">
        <v>3224729</v>
      </c>
      <c r="D99" s="420">
        <v>5520</v>
      </c>
      <c r="E99" s="420">
        <v>5948302</v>
      </c>
      <c r="F99" s="420">
        <v>3453</v>
      </c>
      <c r="G99" s="420">
        <v>2889944</v>
      </c>
      <c r="H99" s="420">
        <v>1520</v>
      </c>
      <c r="I99" s="420">
        <v>1622558</v>
      </c>
      <c r="J99" s="421">
        <v>2611</v>
      </c>
      <c r="K99" s="422">
        <v>2499831</v>
      </c>
      <c r="L99" s="420">
        <v>3403</v>
      </c>
      <c r="M99" s="420">
        <v>3630698</v>
      </c>
      <c r="N99" s="420">
        <v>3856</v>
      </c>
      <c r="O99" s="420">
        <v>4296622</v>
      </c>
      <c r="P99" s="420">
        <v>3208</v>
      </c>
      <c r="Q99" s="420">
        <v>3679701</v>
      </c>
      <c r="R99" s="420">
        <v>2427</v>
      </c>
      <c r="S99" s="420">
        <v>2612605</v>
      </c>
      <c r="T99" s="420">
        <v>2276</v>
      </c>
      <c r="U99" s="420">
        <v>3152428</v>
      </c>
      <c r="V99" s="420">
        <f>_xlfn.IFNA(VLOOKUP(A99,[3]進出口值表查詢結果!$C$11:$F$68,4,0),-[4]整車!$B$22)</f>
        <v>2267</v>
      </c>
      <c r="W99" s="420">
        <f>_xlfn.IFNA(VLOOKUP(A99,[3]進出口值表查詢結果!$C$11:$F$68,3,0),-[4]整車!$B$22)</f>
        <v>2558579</v>
      </c>
      <c r="X99" s="420">
        <f>_xlfn.IFNA(VLOOKUP(A99,[5]進出口值表查詢結果!$C$11:$F$68,4,0),-[4]整車!$B$22)</f>
        <v>3014</v>
      </c>
      <c r="Y99" s="420">
        <f>_xlfn.IFNA(VLOOKUP(A99,[5]進出口值表查詢結果!$C$11:$F$68,3,0),-[4]整車!$B$22)</f>
        <v>2345835</v>
      </c>
      <c r="Z99" s="414">
        <f t="shared" si="20"/>
        <v>37840</v>
      </c>
      <c r="AA99" s="414">
        <f t="shared" si="20"/>
        <v>38461832</v>
      </c>
    </row>
    <row r="100" spans="1:27">
      <c r="A100" s="457" t="s">
        <v>197</v>
      </c>
      <c r="B100" s="420">
        <v>393</v>
      </c>
      <c r="C100" s="420">
        <v>398334</v>
      </c>
      <c r="D100" s="420">
        <v>696</v>
      </c>
      <c r="E100" s="420">
        <v>573153</v>
      </c>
      <c r="F100" s="420">
        <v>171</v>
      </c>
      <c r="G100" s="420">
        <v>172220</v>
      </c>
      <c r="H100" s="420">
        <v>362</v>
      </c>
      <c r="I100" s="420">
        <v>494997</v>
      </c>
      <c r="J100" s="421">
        <v>530</v>
      </c>
      <c r="K100" s="424">
        <v>804144</v>
      </c>
      <c r="L100" s="420">
        <v>882</v>
      </c>
      <c r="M100" s="420">
        <v>833612</v>
      </c>
      <c r="N100" s="420">
        <v>1178</v>
      </c>
      <c r="O100" s="420">
        <v>1491175</v>
      </c>
      <c r="P100" s="420">
        <v>1274</v>
      </c>
      <c r="Q100" s="420">
        <v>1632667</v>
      </c>
      <c r="R100" s="420">
        <v>484</v>
      </c>
      <c r="S100" s="420">
        <v>521195</v>
      </c>
      <c r="T100" s="420">
        <v>1031</v>
      </c>
      <c r="U100" s="420">
        <v>936006</v>
      </c>
      <c r="V100" s="420">
        <f>_xlfn.IFNA(VLOOKUP(A100,[3]進出口值表查詢結果!$C$11:$F$68,4,0),-[4]整車!$B$22)</f>
        <v>1226</v>
      </c>
      <c r="W100" s="420">
        <f>_xlfn.IFNA(VLOOKUP(A100,[3]進出口值表查詢結果!$C$11:$F$68,3,0),-[4]整車!$B$22)</f>
        <v>881802</v>
      </c>
      <c r="X100" s="420">
        <f>_xlfn.IFNA(VLOOKUP(A100,[5]進出口值表查詢結果!$C$11:$F$68,4,0),-[4]整車!$B$22)</f>
        <v>534</v>
      </c>
      <c r="Y100" s="420">
        <f>_xlfn.IFNA(VLOOKUP(A100,[5]進出口值表查詢結果!$C$11:$F$68,3,0),-[4]整車!$B$22)</f>
        <v>675471</v>
      </c>
      <c r="Z100" s="414">
        <f t="shared" si="20"/>
        <v>8761</v>
      </c>
      <c r="AA100" s="414">
        <f t="shared" si="20"/>
        <v>9414776</v>
      </c>
    </row>
    <row r="101" spans="1:27">
      <c r="A101" s="423"/>
      <c r="B101" s="420"/>
      <c r="C101" s="420"/>
      <c r="D101" s="420"/>
      <c r="E101" s="420"/>
      <c r="F101" s="420"/>
      <c r="G101" s="420"/>
      <c r="H101" s="420"/>
      <c r="I101" s="420"/>
      <c r="J101" s="421"/>
      <c r="K101" s="422"/>
      <c r="L101" s="420"/>
      <c r="M101" s="420"/>
      <c r="N101" s="420"/>
      <c r="O101" s="420"/>
      <c r="P101" s="420"/>
      <c r="Q101" s="420"/>
      <c r="R101" s="420"/>
      <c r="S101" s="420"/>
      <c r="T101" s="420"/>
      <c r="U101" s="420"/>
      <c r="V101" s="420"/>
      <c r="W101" s="420"/>
      <c r="X101" s="420"/>
      <c r="Y101" s="420"/>
      <c r="Z101" s="414"/>
      <c r="AA101" s="414"/>
    </row>
    <row r="102" spans="1:27">
      <c r="A102" s="440" t="s">
        <v>45</v>
      </c>
      <c r="B102" s="441">
        <f t="shared" ref="B102:Y102" si="21">SUM(B103:B134)</f>
        <v>1934</v>
      </c>
      <c r="C102" s="441">
        <f t="shared" si="21"/>
        <v>1731089</v>
      </c>
      <c r="D102" s="441">
        <f t="shared" si="21"/>
        <v>1633</v>
      </c>
      <c r="E102" s="441">
        <f t="shared" si="21"/>
        <v>1772448</v>
      </c>
      <c r="F102" s="441">
        <f t="shared" si="21"/>
        <v>1822</v>
      </c>
      <c r="G102" s="441">
        <f t="shared" si="21"/>
        <v>2077067</v>
      </c>
      <c r="H102" s="441">
        <f t="shared" si="21"/>
        <v>906</v>
      </c>
      <c r="I102" s="441">
        <f t="shared" si="21"/>
        <v>1075357</v>
      </c>
      <c r="J102" s="442">
        <f t="shared" si="21"/>
        <v>1957</v>
      </c>
      <c r="K102" s="443">
        <f t="shared" si="21"/>
        <v>3078550</v>
      </c>
      <c r="L102" s="441">
        <f t="shared" si="21"/>
        <v>3212</v>
      </c>
      <c r="M102" s="441">
        <f t="shared" si="21"/>
        <v>4353020</v>
      </c>
      <c r="N102" s="441">
        <f t="shared" si="21"/>
        <v>3748</v>
      </c>
      <c r="O102" s="441">
        <f t="shared" si="21"/>
        <v>4915548</v>
      </c>
      <c r="P102" s="441">
        <f t="shared" si="21"/>
        <v>2931</v>
      </c>
      <c r="Q102" s="441">
        <f t="shared" si="21"/>
        <v>4038698</v>
      </c>
      <c r="R102" s="441">
        <f t="shared" si="21"/>
        <v>2759</v>
      </c>
      <c r="S102" s="441">
        <f t="shared" si="21"/>
        <v>3387332</v>
      </c>
      <c r="T102" s="441">
        <f t="shared" si="21"/>
        <v>2949</v>
      </c>
      <c r="U102" s="441">
        <f t="shared" si="21"/>
        <v>3052841</v>
      </c>
      <c r="V102" s="441">
        <f>SUM(V103:V134)</f>
        <v>1812</v>
      </c>
      <c r="W102" s="441">
        <f>SUM(W103:W134)</f>
        <v>2019548</v>
      </c>
      <c r="X102" s="441">
        <f t="shared" si="21"/>
        <v>2688</v>
      </c>
      <c r="Y102" s="441">
        <f t="shared" si="21"/>
        <v>2319383</v>
      </c>
      <c r="Z102" s="427">
        <f t="shared" ref="Z102:Z134" si="22">SUM(B102,D102,F102,H102,J102,L102,N102,P102,R102,T102,V102,X102)</f>
        <v>28351</v>
      </c>
      <c r="AA102" s="427">
        <f t="shared" ref="AA102:AA134" si="23">SUM(C102,E102,G102,I102,K102,M102,O102,Q102,S102,U102,W102,Y102)</f>
        <v>33820881</v>
      </c>
    </row>
    <row r="103" spans="1:27">
      <c r="A103" s="457" t="s">
        <v>297</v>
      </c>
      <c r="B103" s="420"/>
      <c r="C103" s="420"/>
      <c r="D103" s="420"/>
      <c r="E103" s="420"/>
      <c r="F103" s="420">
        <v>0</v>
      </c>
      <c r="G103" s="420"/>
      <c r="H103" s="420">
        <v>0</v>
      </c>
      <c r="I103" s="420">
        <v>0</v>
      </c>
      <c r="J103" s="421" t="s">
        <v>60</v>
      </c>
      <c r="K103" s="424" t="s">
        <v>60</v>
      </c>
      <c r="L103" s="420"/>
      <c r="M103" s="420"/>
      <c r="N103" s="420"/>
      <c r="O103" s="420"/>
      <c r="P103" s="420">
        <v>0</v>
      </c>
      <c r="Q103" s="420">
        <v>0</v>
      </c>
      <c r="R103" s="420">
        <v>0</v>
      </c>
      <c r="S103" s="420">
        <v>0</v>
      </c>
      <c r="T103" s="420"/>
      <c r="U103" s="420"/>
      <c r="V103" s="420">
        <f>_xlfn.IFNA(VLOOKUP(A103,[3]進出口值表查詢結果!$C$11:$F$68,4,0),-[4]整車!$B$22)</f>
        <v>0</v>
      </c>
      <c r="W103" s="420">
        <f>_xlfn.IFNA(VLOOKUP(A103,[3]進出口值表查詢結果!$C$11:$F$68,3,0),-[4]整車!$B$22)</f>
        <v>0</v>
      </c>
      <c r="X103" s="420">
        <f>_xlfn.IFNA(VLOOKUP(A103,[5]進出口值表查詢結果!$C$11:$F$68,4,0),-[4]整車!$B$22)</f>
        <v>0</v>
      </c>
      <c r="Y103" s="420">
        <f>_xlfn.IFNA(VLOOKUP(A103,[5]進出口值表查詢結果!$C$11:$F$68,3,0),-[4]整車!$B$22)</f>
        <v>0</v>
      </c>
      <c r="Z103" s="414">
        <f t="shared" si="22"/>
        <v>0</v>
      </c>
      <c r="AA103" s="414">
        <f t="shared" si="23"/>
        <v>0</v>
      </c>
    </row>
    <row r="104" spans="1:27">
      <c r="A104" s="457" t="s">
        <v>298</v>
      </c>
      <c r="B104" s="420"/>
      <c r="C104" s="420"/>
      <c r="D104" s="420"/>
      <c r="E104" s="420"/>
      <c r="F104" s="420">
        <v>0</v>
      </c>
      <c r="G104" s="420"/>
      <c r="H104" s="420">
        <v>0</v>
      </c>
      <c r="I104" s="420">
        <v>0</v>
      </c>
      <c r="J104" s="421" t="s">
        <v>60</v>
      </c>
      <c r="K104" s="424" t="s">
        <v>60</v>
      </c>
      <c r="L104" s="420"/>
      <c r="M104" s="420"/>
      <c r="N104" s="420"/>
      <c r="O104" s="420"/>
      <c r="P104" s="420">
        <v>0</v>
      </c>
      <c r="Q104" s="420">
        <v>0</v>
      </c>
      <c r="R104" s="420">
        <v>0</v>
      </c>
      <c r="S104" s="420">
        <v>0</v>
      </c>
      <c r="T104" s="420"/>
      <c r="U104" s="420"/>
      <c r="V104" s="420">
        <f>_xlfn.IFNA(VLOOKUP(A104,[3]進出口值表查詢結果!$C$11:$F$68,4,0),-[4]整車!$B$22)</f>
        <v>0</v>
      </c>
      <c r="W104" s="420">
        <f>_xlfn.IFNA(VLOOKUP(A104,[3]進出口值表查詢結果!$C$11:$F$68,3,0),-[4]整車!$B$22)</f>
        <v>0</v>
      </c>
      <c r="X104" s="420">
        <f>_xlfn.IFNA(VLOOKUP(A104,[5]進出口值表查詢結果!$C$11:$F$68,4,0),-[4]整車!$B$22)</f>
        <v>0</v>
      </c>
      <c r="Y104" s="420">
        <f>_xlfn.IFNA(VLOOKUP(A104,[5]進出口值表查詢結果!$C$11:$F$68,3,0),-[4]整車!$B$22)</f>
        <v>0</v>
      </c>
      <c r="Z104" s="414">
        <f t="shared" si="22"/>
        <v>0</v>
      </c>
      <c r="AA104" s="414">
        <f t="shared" si="23"/>
        <v>0</v>
      </c>
    </row>
    <row r="105" spans="1:27">
      <c r="A105" s="457" t="s">
        <v>190</v>
      </c>
      <c r="B105" s="420">
        <v>382</v>
      </c>
      <c r="C105" s="420">
        <v>382841</v>
      </c>
      <c r="D105" s="420">
        <v>506</v>
      </c>
      <c r="E105" s="420">
        <v>765722</v>
      </c>
      <c r="F105" s="420">
        <v>527</v>
      </c>
      <c r="G105" s="420">
        <v>600067</v>
      </c>
      <c r="H105" s="420">
        <v>281</v>
      </c>
      <c r="I105" s="420">
        <v>404903</v>
      </c>
      <c r="J105" s="421">
        <v>848</v>
      </c>
      <c r="K105" s="422">
        <v>1410992</v>
      </c>
      <c r="L105" s="420">
        <v>1653</v>
      </c>
      <c r="M105" s="420">
        <v>2346012</v>
      </c>
      <c r="N105" s="434">
        <v>944</v>
      </c>
      <c r="O105" s="434">
        <v>1389114</v>
      </c>
      <c r="P105" s="420">
        <v>509</v>
      </c>
      <c r="Q105" s="420">
        <v>808506</v>
      </c>
      <c r="R105" s="420">
        <v>533</v>
      </c>
      <c r="S105" s="420">
        <v>864334</v>
      </c>
      <c r="T105" s="420">
        <v>159</v>
      </c>
      <c r="U105" s="420">
        <v>215147</v>
      </c>
      <c r="V105" s="420">
        <f>_xlfn.IFNA(VLOOKUP(A105,[3]進出口值表查詢結果!$C$11:$F$68,4,0),-[4]整車!$B$22)</f>
        <v>323</v>
      </c>
      <c r="W105" s="420">
        <f>_xlfn.IFNA(VLOOKUP(A105,[3]進出口值表查詢結果!$C$11:$F$68,3,0),-[4]整車!$B$22)</f>
        <v>284126</v>
      </c>
      <c r="X105" s="420">
        <f>_xlfn.IFNA(VLOOKUP(A105,[5]進出口值表查詢結果!$C$11:$F$68,4,0),-[4]整車!$B$22)</f>
        <v>146</v>
      </c>
      <c r="Y105" s="420">
        <f>_xlfn.IFNA(VLOOKUP(A105,[5]進出口值表查詢結果!$C$11:$F$68,3,0),-[4]整車!$B$22)</f>
        <v>145591</v>
      </c>
      <c r="Z105" s="414">
        <f t="shared" si="22"/>
        <v>6811</v>
      </c>
      <c r="AA105" s="414">
        <f t="shared" si="23"/>
        <v>9617355</v>
      </c>
    </row>
    <row r="106" spans="1:27">
      <c r="A106" s="457" t="s">
        <v>300</v>
      </c>
      <c r="B106" s="420">
        <v>192</v>
      </c>
      <c r="C106" s="420">
        <v>147251</v>
      </c>
      <c r="D106" s="420">
        <v>186</v>
      </c>
      <c r="E106" s="420">
        <v>185042</v>
      </c>
      <c r="F106" s="420">
        <v>10</v>
      </c>
      <c r="G106" s="420">
        <v>16229</v>
      </c>
      <c r="H106" s="420">
        <v>0</v>
      </c>
      <c r="I106" s="420">
        <v>0</v>
      </c>
      <c r="J106" s="421" t="s">
        <v>60</v>
      </c>
      <c r="K106" s="424" t="s">
        <v>60</v>
      </c>
      <c r="L106" s="420">
        <v>204</v>
      </c>
      <c r="M106" s="420">
        <v>355563</v>
      </c>
      <c r="N106" s="434">
        <v>92</v>
      </c>
      <c r="O106" s="434">
        <v>125017</v>
      </c>
      <c r="P106" s="420">
        <v>232</v>
      </c>
      <c r="Q106" s="420">
        <v>213453</v>
      </c>
      <c r="R106" s="420">
        <v>211</v>
      </c>
      <c r="S106" s="420">
        <v>248506</v>
      </c>
      <c r="T106" s="420">
        <v>234</v>
      </c>
      <c r="U106" s="420">
        <v>172701</v>
      </c>
      <c r="V106" s="420">
        <f>_xlfn.IFNA(VLOOKUP(A106,[3]進出口值表查詢結果!$C$11:$F$68,4,0),-[4]整車!$B$22)</f>
        <v>169</v>
      </c>
      <c r="W106" s="420">
        <f>_xlfn.IFNA(VLOOKUP(A106,[3]進出口值表查詢結果!$C$11:$F$68,3,0),-[4]整車!$B$22)</f>
        <v>193761</v>
      </c>
      <c r="X106" s="420">
        <f>_xlfn.IFNA(VLOOKUP(A106,[5]進出口值表查詢結果!$C$11:$F$68,4,0),-[4]整車!$B$22)</f>
        <v>364</v>
      </c>
      <c r="Y106" s="420">
        <f>_xlfn.IFNA(VLOOKUP(A106,[5]進出口值表查詢結果!$C$11:$F$68,3,0),-[4]整車!$B$22)</f>
        <v>300945</v>
      </c>
      <c r="Z106" s="414">
        <f t="shared" si="22"/>
        <v>1894</v>
      </c>
      <c r="AA106" s="414">
        <f t="shared" si="23"/>
        <v>1958468</v>
      </c>
    </row>
    <row r="107" spans="1:27">
      <c r="A107" s="457" t="s">
        <v>301</v>
      </c>
      <c r="B107" s="420">
        <v>781</v>
      </c>
      <c r="C107" s="420">
        <v>548150</v>
      </c>
      <c r="D107" s="420">
        <v>111</v>
      </c>
      <c r="E107" s="420">
        <v>89240</v>
      </c>
      <c r="F107" s="420">
        <v>351</v>
      </c>
      <c r="G107" s="420">
        <v>470294</v>
      </c>
      <c r="H107" s="420">
        <v>198</v>
      </c>
      <c r="I107" s="420">
        <v>307652</v>
      </c>
      <c r="J107" s="421">
        <v>229</v>
      </c>
      <c r="K107" s="422">
        <v>430170</v>
      </c>
      <c r="L107" s="420">
        <v>510</v>
      </c>
      <c r="M107" s="420">
        <v>633446</v>
      </c>
      <c r="N107" s="434">
        <v>1151</v>
      </c>
      <c r="O107" s="434">
        <v>1551960</v>
      </c>
      <c r="P107" s="420">
        <v>889</v>
      </c>
      <c r="Q107" s="420">
        <v>1212809</v>
      </c>
      <c r="R107" s="420">
        <v>540</v>
      </c>
      <c r="S107" s="420">
        <v>582846</v>
      </c>
      <c r="T107" s="420">
        <v>602</v>
      </c>
      <c r="U107" s="420">
        <v>676489</v>
      </c>
      <c r="V107" s="420">
        <f>_xlfn.IFNA(VLOOKUP(A107,[3]進出口值表查詢結果!$C$11:$F$68,4,0),-[4]整車!$B$22)</f>
        <v>546</v>
      </c>
      <c r="W107" s="420">
        <f>_xlfn.IFNA(VLOOKUP(A107,[3]進出口值表查詢結果!$C$11:$F$68,3,0),-[4]整車!$B$22)</f>
        <v>727903</v>
      </c>
      <c r="X107" s="420">
        <f>_xlfn.IFNA(VLOOKUP(A107,[5]進出口值表查詢結果!$C$11:$F$68,4,0),-[4]整車!$B$22)</f>
        <v>233</v>
      </c>
      <c r="Y107" s="420">
        <f>_xlfn.IFNA(VLOOKUP(A107,[5]進出口值表查詢結果!$C$11:$F$68,3,0),-[4]整車!$B$22)</f>
        <v>261722</v>
      </c>
      <c r="Z107" s="414">
        <f t="shared" si="22"/>
        <v>6141</v>
      </c>
      <c r="AA107" s="414">
        <f t="shared" si="23"/>
        <v>7492681</v>
      </c>
    </row>
    <row r="108" spans="1:27">
      <c r="A108" s="457" t="s">
        <v>302</v>
      </c>
      <c r="B108" s="420">
        <v>17</v>
      </c>
      <c r="C108" s="420">
        <v>25258</v>
      </c>
      <c r="D108" s="420"/>
      <c r="E108" s="420"/>
      <c r="F108" s="420">
        <v>35</v>
      </c>
      <c r="G108" s="420">
        <v>25788</v>
      </c>
      <c r="H108" s="420">
        <v>12</v>
      </c>
      <c r="I108" s="420">
        <v>16694</v>
      </c>
      <c r="J108" s="421">
        <v>206</v>
      </c>
      <c r="K108" s="424">
        <v>450652</v>
      </c>
      <c r="L108" s="420">
        <v>105</v>
      </c>
      <c r="M108" s="420">
        <v>123626</v>
      </c>
      <c r="N108" s="420">
        <v>201</v>
      </c>
      <c r="O108" s="434">
        <v>350913</v>
      </c>
      <c r="P108" s="420">
        <v>238</v>
      </c>
      <c r="Q108" s="420">
        <v>267808</v>
      </c>
      <c r="R108" s="420">
        <v>35</v>
      </c>
      <c r="S108" s="420">
        <v>51563</v>
      </c>
      <c r="T108" s="420">
        <v>445</v>
      </c>
      <c r="U108" s="420">
        <v>486920</v>
      </c>
      <c r="V108" s="420">
        <f>_xlfn.IFNA(VLOOKUP(A108,[3]進出口值表查詢結果!$C$11:$F$68,4,0),-[4]整車!$B$22)</f>
        <v>432</v>
      </c>
      <c r="W108" s="420">
        <f>_xlfn.IFNA(VLOOKUP(A108,[3]進出口值表查詢結果!$C$11:$F$68,3,0),-[4]整車!$B$22)</f>
        <v>333448</v>
      </c>
      <c r="X108" s="420">
        <f>_xlfn.IFNA(VLOOKUP(A108,[5]進出口值表查詢結果!$C$11:$F$68,4,0),-[4]整車!$B$22)</f>
        <v>408</v>
      </c>
      <c r="Y108" s="420">
        <f>_xlfn.IFNA(VLOOKUP(A108,[5]進出口值表查詢結果!$C$11:$F$68,3,0),-[4]整車!$B$22)</f>
        <v>492827</v>
      </c>
      <c r="Z108" s="414">
        <f t="shared" si="22"/>
        <v>2134</v>
      </c>
      <c r="AA108" s="414">
        <f t="shared" si="23"/>
        <v>2625497</v>
      </c>
    </row>
    <row r="109" spans="1:27">
      <c r="A109" s="457" t="s">
        <v>396</v>
      </c>
      <c r="B109" s="420">
        <v>21</v>
      </c>
      <c r="C109" s="420">
        <v>26824</v>
      </c>
      <c r="D109" s="420"/>
      <c r="E109" s="420"/>
      <c r="F109" s="420">
        <v>99</v>
      </c>
      <c r="G109" s="420">
        <v>93761</v>
      </c>
      <c r="H109" s="420">
        <v>0</v>
      </c>
      <c r="I109" s="420">
        <v>0</v>
      </c>
      <c r="J109" s="421">
        <v>106</v>
      </c>
      <c r="K109" s="422">
        <v>83461</v>
      </c>
      <c r="L109" s="420">
        <v>38</v>
      </c>
      <c r="M109" s="420">
        <v>42862</v>
      </c>
      <c r="N109" s="434">
        <v>99</v>
      </c>
      <c r="O109" s="434">
        <v>102704</v>
      </c>
      <c r="P109" s="420">
        <v>90</v>
      </c>
      <c r="Q109" s="420">
        <v>90308</v>
      </c>
      <c r="R109" s="420">
        <v>58</v>
      </c>
      <c r="S109" s="420">
        <v>70380</v>
      </c>
      <c r="T109" s="420">
        <v>106</v>
      </c>
      <c r="U109" s="420">
        <v>106953</v>
      </c>
      <c r="V109" s="420">
        <f>_xlfn.IFNA(VLOOKUP(A109,[3]進出口值表查詢結果!$C$11:$F$68,4,0),-[4]整車!$B$22)</f>
        <v>50</v>
      </c>
      <c r="W109" s="420">
        <f>_xlfn.IFNA(VLOOKUP(A109,[3]進出口值表查詢結果!$C$11:$F$68,3,0),-[4]整車!$B$22)</f>
        <v>61248</v>
      </c>
      <c r="X109" s="420">
        <f>_xlfn.IFNA(VLOOKUP(A109,[5]進出口值表查詢結果!$C$11:$F$68,4,0),-[4]整車!$B$22)</f>
        <v>24</v>
      </c>
      <c r="Y109" s="420">
        <f>_xlfn.IFNA(VLOOKUP(A109,[5]進出口值表查詢結果!$C$11:$F$68,3,0),-[4]整車!$B$22)</f>
        <v>4829</v>
      </c>
      <c r="Z109" s="414">
        <f t="shared" si="22"/>
        <v>691</v>
      </c>
      <c r="AA109" s="414">
        <f t="shared" si="23"/>
        <v>683330</v>
      </c>
    </row>
    <row r="110" spans="1:27">
      <c r="A110" s="457" t="s">
        <v>303</v>
      </c>
      <c r="B110" s="420"/>
      <c r="C110" s="420"/>
      <c r="D110" s="420">
        <v>26</v>
      </c>
      <c r="E110" s="420">
        <v>36509</v>
      </c>
      <c r="F110" s="420">
        <v>69</v>
      </c>
      <c r="G110" s="420">
        <v>58115</v>
      </c>
      <c r="H110" s="420">
        <v>0</v>
      </c>
      <c r="I110" s="420">
        <v>0</v>
      </c>
      <c r="J110" s="421" t="s">
        <v>60</v>
      </c>
      <c r="K110" s="424" t="s">
        <v>60</v>
      </c>
      <c r="L110" s="420"/>
      <c r="M110" s="420"/>
      <c r="N110" s="420"/>
      <c r="O110" s="420"/>
      <c r="P110" s="420">
        <v>0</v>
      </c>
      <c r="Q110" s="420">
        <v>0</v>
      </c>
      <c r="R110" s="420">
        <v>0</v>
      </c>
      <c r="S110" s="420">
        <v>0</v>
      </c>
      <c r="T110" s="420"/>
      <c r="U110" s="420"/>
      <c r="V110" s="420">
        <f>_xlfn.IFNA(VLOOKUP(A110,[3]進出口值表查詢結果!$C$11:$F$68,4,0),-[4]整車!$B$22)</f>
        <v>0</v>
      </c>
      <c r="W110" s="420">
        <f>_xlfn.IFNA(VLOOKUP(A110,[3]進出口值表查詢結果!$C$11:$F$68,3,0),-[4]整車!$B$22)</f>
        <v>0</v>
      </c>
      <c r="X110" s="420">
        <f>_xlfn.IFNA(VLOOKUP(A110,[5]進出口值表查詢結果!$C$11:$F$68,4,0),-[4]整車!$B$22)</f>
        <v>0</v>
      </c>
      <c r="Y110" s="420">
        <f>_xlfn.IFNA(VLOOKUP(A110,[5]進出口值表查詢結果!$C$11:$F$68,3,0),-[4]整車!$B$22)</f>
        <v>0</v>
      </c>
      <c r="Z110" s="414">
        <f t="shared" si="22"/>
        <v>95</v>
      </c>
      <c r="AA110" s="414">
        <f t="shared" si="23"/>
        <v>94624</v>
      </c>
    </row>
    <row r="111" spans="1:27">
      <c r="A111" s="457" t="s">
        <v>304</v>
      </c>
      <c r="B111" s="420">
        <v>38</v>
      </c>
      <c r="C111" s="420">
        <v>57613</v>
      </c>
      <c r="D111" s="420">
        <v>239</v>
      </c>
      <c r="E111" s="420">
        <v>192071</v>
      </c>
      <c r="F111" s="420">
        <v>218</v>
      </c>
      <c r="G111" s="420">
        <v>140890</v>
      </c>
      <c r="H111" s="420">
        <v>5</v>
      </c>
      <c r="I111" s="420">
        <v>10500</v>
      </c>
      <c r="J111" s="421">
        <v>175</v>
      </c>
      <c r="K111" s="424">
        <v>220849</v>
      </c>
      <c r="L111" s="420">
        <v>319</v>
      </c>
      <c r="M111" s="420">
        <v>305430</v>
      </c>
      <c r="N111" s="434">
        <v>392</v>
      </c>
      <c r="O111" s="434">
        <v>586309</v>
      </c>
      <c r="P111" s="420">
        <v>106</v>
      </c>
      <c r="Q111" s="420">
        <v>196069</v>
      </c>
      <c r="R111" s="420">
        <v>435</v>
      </c>
      <c r="S111" s="420">
        <v>558493</v>
      </c>
      <c r="T111" s="420">
        <v>345</v>
      </c>
      <c r="U111" s="420">
        <v>422823</v>
      </c>
      <c r="V111" s="420">
        <f>_xlfn.IFNA(VLOOKUP(A111,[3]進出口值表查詢結果!$C$11:$F$68,4,0),-[4]整車!$B$22)</f>
        <v>81</v>
      </c>
      <c r="W111" s="420">
        <f>_xlfn.IFNA(VLOOKUP(A111,[3]進出口值表查詢結果!$C$11:$F$68,3,0),-[4]整車!$B$22)</f>
        <v>132131</v>
      </c>
      <c r="X111" s="420">
        <f>_xlfn.IFNA(VLOOKUP(A111,[5]進出口值表查詢結果!$C$11:$F$68,4,0),-[4]整車!$B$22)</f>
        <v>22</v>
      </c>
      <c r="Y111" s="420">
        <f>_xlfn.IFNA(VLOOKUP(A111,[5]進出口值表查詢結果!$C$11:$F$68,3,0),-[4]整車!$B$22)</f>
        <v>32015</v>
      </c>
      <c r="Z111" s="414">
        <f t="shared" si="22"/>
        <v>2375</v>
      </c>
      <c r="AA111" s="414">
        <f t="shared" si="23"/>
        <v>2855193</v>
      </c>
    </row>
    <row r="112" spans="1:27">
      <c r="A112" s="457" t="s">
        <v>306</v>
      </c>
      <c r="B112" s="420">
        <v>271</v>
      </c>
      <c r="C112" s="420">
        <v>335554</v>
      </c>
      <c r="D112" s="420">
        <v>333</v>
      </c>
      <c r="E112" s="420">
        <v>314324</v>
      </c>
      <c r="F112" s="420">
        <v>378</v>
      </c>
      <c r="G112" s="420">
        <v>429439</v>
      </c>
      <c r="H112" s="420">
        <v>379</v>
      </c>
      <c r="I112" s="420">
        <v>273535</v>
      </c>
      <c r="J112" s="421">
        <v>257</v>
      </c>
      <c r="K112" s="422">
        <v>307852</v>
      </c>
      <c r="L112" s="420">
        <v>224</v>
      </c>
      <c r="M112" s="420">
        <v>305162</v>
      </c>
      <c r="N112" s="434">
        <v>431</v>
      </c>
      <c r="O112" s="434">
        <v>330830</v>
      </c>
      <c r="P112" s="420">
        <v>626</v>
      </c>
      <c r="Q112" s="420">
        <v>920976</v>
      </c>
      <c r="R112" s="420">
        <v>781</v>
      </c>
      <c r="S112" s="420">
        <v>864845</v>
      </c>
      <c r="T112" s="420">
        <v>613</v>
      </c>
      <c r="U112" s="420">
        <v>641240</v>
      </c>
      <c r="V112" s="420">
        <f>_xlfn.IFNA(VLOOKUP(A112,[3]進出口值表查詢結果!$C$11:$F$68,4,0),-[4]整車!$B$22)</f>
        <v>188</v>
      </c>
      <c r="W112" s="420">
        <f>_xlfn.IFNA(VLOOKUP(A112,[3]進出口值表查詢結果!$C$11:$F$68,3,0),-[4]整車!$B$22)</f>
        <v>254834</v>
      </c>
      <c r="X112" s="420">
        <f>_xlfn.IFNA(VLOOKUP(A112,[5]進出口值表查詢結果!$C$11:$F$68,4,0),-[4]整車!$B$22)</f>
        <v>933</v>
      </c>
      <c r="Y112" s="420">
        <f>_xlfn.IFNA(VLOOKUP(A112,[5]進出口值表查詢結果!$C$11:$F$68,3,0),-[4]整車!$B$22)</f>
        <v>495836</v>
      </c>
      <c r="Z112" s="414">
        <f t="shared" si="22"/>
        <v>5414</v>
      </c>
      <c r="AA112" s="414">
        <f t="shared" si="23"/>
        <v>5474427</v>
      </c>
    </row>
    <row r="113" spans="1:27">
      <c r="A113" s="457" t="s">
        <v>307</v>
      </c>
      <c r="B113" s="420"/>
      <c r="C113" s="420"/>
      <c r="D113" s="420">
        <v>64</v>
      </c>
      <c r="E113" s="420">
        <v>60093</v>
      </c>
      <c r="F113" s="420">
        <v>13</v>
      </c>
      <c r="G113" s="420">
        <v>12413</v>
      </c>
      <c r="H113" s="420">
        <v>0</v>
      </c>
      <c r="I113" s="420">
        <v>0</v>
      </c>
      <c r="J113" s="421">
        <v>52</v>
      </c>
      <c r="K113" s="424">
        <v>77514</v>
      </c>
      <c r="L113" s="420">
        <v>0</v>
      </c>
      <c r="M113" s="420">
        <v>0</v>
      </c>
      <c r="N113" s="434">
        <v>105</v>
      </c>
      <c r="O113" s="434">
        <v>127620</v>
      </c>
      <c r="P113" s="420">
        <v>125</v>
      </c>
      <c r="Q113" s="420">
        <v>149169</v>
      </c>
      <c r="R113" s="420">
        <v>27</v>
      </c>
      <c r="S113" s="420">
        <v>36039</v>
      </c>
      <c r="T113" s="420">
        <v>211</v>
      </c>
      <c r="U113" s="420">
        <v>20138</v>
      </c>
      <c r="V113" s="420">
        <f>_xlfn.IFNA(VLOOKUP(A113,[3]進出口值表查詢結果!$C$11:$F$68,4,0),-[4]整車!$B$22)</f>
        <v>0</v>
      </c>
      <c r="W113" s="420">
        <f>_xlfn.IFNA(VLOOKUP(A113,[3]進出口值表查詢結果!$C$11:$F$68,3,0),-[4]整車!$B$22)</f>
        <v>0</v>
      </c>
      <c r="X113" s="420">
        <f>_xlfn.IFNA(VLOOKUP(A113,[5]進出口值表查詢結果!$C$11:$F$68,4,0),-[4]整車!$B$22)</f>
        <v>38</v>
      </c>
      <c r="Y113" s="420">
        <f>_xlfn.IFNA(VLOOKUP(A113,[5]進出口值表查詢結果!$C$11:$F$68,3,0),-[4]整車!$B$22)</f>
        <v>41358</v>
      </c>
      <c r="Z113" s="414">
        <f t="shared" si="22"/>
        <v>635</v>
      </c>
      <c r="AA113" s="414">
        <f t="shared" si="23"/>
        <v>524344</v>
      </c>
    </row>
    <row r="114" spans="1:27">
      <c r="A114" s="457" t="s">
        <v>308</v>
      </c>
      <c r="B114" s="420"/>
      <c r="C114" s="420"/>
      <c r="D114" s="420"/>
      <c r="E114" s="420"/>
      <c r="F114" s="420">
        <v>0</v>
      </c>
      <c r="G114" s="420"/>
      <c r="H114" s="420">
        <v>0</v>
      </c>
      <c r="I114" s="420">
        <v>0</v>
      </c>
      <c r="J114" s="421" t="s">
        <v>60</v>
      </c>
      <c r="K114" s="424" t="s">
        <v>60</v>
      </c>
      <c r="L114" s="420">
        <v>0</v>
      </c>
      <c r="M114" s="420">
        <v>0</v>
      </c>
      <c r="N114" s="420">
        <v>0</v>
      </c>
      <c r="O114" s="420">
        <v>0</v>
      </c>
      <c r="P114" s="420">
        <v>0</v>
      </c>
      <c r="Q114" s="420">
        <v>0</v>
      </c>
      <c r="R114" s="420">
        <v>65</v>
      </c>
      <c r="S114" s="420">
        <v>16882</v>
      </c>
      <c r="T114" s="420"/>
      <c r="U114" s="420"/>
      <c r="V114" s="420">
        <f>_xlfn.IFNA(VLOOKUP(A114,[3]進出口值表查詢結果!$C$11:$F$68,4,0),-[4]整車!$B$22)</f>
        <v>0</v>
      </c>
      <c r="W114" s="420">
        <f>_xlfn.IFNA(VLOOKUP(A114,[3]進出口值表查詢結果!$C$11:$F$68,3,0),-[4]整車!$B$22)</f>
        <v>0</v>
      </c>
      <c r="X114" s="420">
        <f>_xlfn.IFNA(VLOOKUP(A114,[5]進出口值表查詢結果!$C$11:$F$68,4,0),-[4]整車!$B$22)</f>
        <v>0</v>
      </c>
      <c r="Y114" s="420">
        <f>_xlfn.IFNA(VLOOKUP(A114,[5]進出口值表查詢結果!$C$11:$F$68,3,0),-[4]整車!$B$22)</f>
        <v>0</v>
      </c>
      <c r="Z114" s="414">
        <f t="shared" si="22"/>
        <v>65</v>
      </c>
      <c r="AA114" s="414">
        <f t="shared" si="23"/>
        <v>16882</v>
      </c>
    </row>
    <row r="115" spans="1:27">
      <c r="A115" s="457" t="s">
        <v>188</v>
      </c>
      <c r="B115" s="420"/>
      <c r="C115" s="420"/>
      <c r="D115" s="420"/>
      <c r="E115" s="420"/>
      <c r="F115" s="420">
        <v>0</v>
      </c>
      <c r="G115" s="420"/>
      <c r="H115" s="420">
        <v>0</v>
      </c>
      <c r="I115" s="420">
        <v>0</v>
      </c>
      <c r="J115" s="421" t="s">
        <v>60</v>
      </c>
      <c r="K115" s="424" t="s">
        <v>60</v>
      </c>
      <c r="L115" s="420">
        <v>0</v>
      </c>
      <c r="M115" s="420">
        <v>0</v>
      </c>
      <c r="N115" s="434">
        <v>36</v>
      </c>
      <c r="O115" s="434">
        <v>54902</v>
      </c>
      <c r="P115" s="420">
        <v>0</v>
      </c>
      <c r="Q115" s="420">
        <v>0</v>
      </c>
      <c r="R115" s="420">
        <v>59</v>
      </c>
      <c r="S115" s="420">
        <v>60292</v>
      </c>
      <c r="T115" s="420">
        <v>13</v>
      </c>
      <c r="U115" s="420">
        <v>24991</v>
      </c>
      <c r="V115" s="420">
        <f>_xlfn.IFNA(VLOOKUP(A115,[3]進出口值表查詢結果!$C$11:$F$68,4,0),-[4]整車!$B$22)</f>
        <v>0</v>
      </c>
      <c r="W115" s="420">
        <f>_xlfn.IFNA(VLOOKUP(A115,[3]進出口值表查詢結果!$C$11:$F$68,3,0),-[4]整車!$B$22)</f>
        <v>0</v>
      </c>
      <c r="X115" s="420">
        <f>_xlfn.IFNA(VLOOKUP(A115,[5]進出口值表查詢結果!$C$11:$F$68,4,0),-[4]整車!$B$22)</f>
        <v>90</v>
      </c>
      <c r="Y115" s="420">
        <f>_xlfn.IFNA(VLOOKUP(A115,[5]進出口值表查詢結果!$C$11:$F$68,3,0),-[4]整車!$B$22)</f>
        <v>155913</v>
      </c>
      <c r="Z115" s="414">
        <f t="shared" si="22"/>
        <v>198</v>
      </c>
      <c r="AA115" s="414">
        <f t="shared" si="23"/>
        <v>296098</v>
      </c>
    </row>
    <row r="116" spans="1:27">
      <c r="A116" s="457" t="s">
        <v>309</v>
      </c>
      <c r="B116" s="420"/>
      <c r="C116" s="420"/>
      <c r="D116" s="420">
        <v>58</v>
      </c>
      <c r="E116" s="420">
        <v>17155</v>
      </c>
      <c r="F116" s="420">
        <v>0</v>
      </c>
      <c r="G116" s="420"/>
      <c r="H116" s="420">
        <v>0</v>
      </c>
      <c r="I116" s="420">
        <v>0</v>
      </c>
      <c r="J116" s="421" t="s">
        <v>60</v>
      </c>
      <c r="K116" s="424" t="s">
        <v>60</v>
      </c>
      <c r="L116" s="420">
        <v>66</v>
      </c>
      <c r="M116" s="420">
        <v>91388</v>
      </c>
      <c r="N116" s="434">
        <v>93</v>
      </c>
      <c r="O116" s="434">
        <v>28161</v>
      </c>
      <c r="P116" s="420">
        <v>1</v>
      </c>
      <c r="Q116" s="420">
        <v>1898</v>
      </c>
      <c r="R116" s="420">
        <v>0</v>
      </c>
      <c r="S116" s="420">
        <v>0</v>
      </c>
      <c r="T116" s="420">
        <v>70</v>
      </c>
      <c r="U116" s="420">
        <v>76661</v>
      </c>
      <c r="V116" s="420">
        <f>_xlfn.IFNA(VLOOKUP(A116,[3]進出口值表查詢結果!$C$11:$F$68,4,0),-[4]整車!$B$22)</f>
        <v>0</v>
      </c>
      <c r="W116" s="420">
        <f>_xlfn.IFNA(VLOOKUP(A116,[3]進出口值表查詢結果!$C$11:$F$68,3,0),-[4]整車!$B$22)</f>
        <v>0</v>
      </c>
      <c r="X116" s="420">
        <f>_xlfn.IFNA(VLOOKUP(A116,[5]進出口值表查詢結果!$C$11:$F$68,4,0),-[4]整車!$B$22)</f>
        <v>0</v>
      </c>
      <c r="Y116" s="420">
        <f>_xlfn.IFNA(VLOOKUP(A116,[5]進出口值表查詢結果!$C$11:$F$68,3,0),-[4]整車!$B$22)</f>
        <v>0</v>
      </c>
      <c r="Z116" s="414">
        <f t="shared" si="22"/>
        <v>288</v>
      </c>
      <c r="AA116" s="414">
        <f t="shared" si="23"/>
        <v>215263</v>
      </c>
    </row>
    <row r="117" spans="1:27">
      <c r="A117" s="457" t="s">
        <v>310</v>
      </c>
      <c r="B117" s="420">
        <v>91</v>
      </c>
      <c r="C117" s="420">
        <v>105365</v>
      </c>
      <c r="D117" s="420"/>
      <c r="E117" s="420"/>
      <c r="F117" s="420">
        <v>0</v>
      </c>
      <c r="G117" s="420"/>
      <c r="H117" s="420">
        <v>0</v>
      </c>
      <c r="I117" s="420">
        <v>0</v>
      </c>
      <c r="J117" s="421" t="s">
        <v>60</v>
      </c>
      <c r="K117" s="424" t="s">
        <v>60</v>
      </c>
      <c r="L117" s="420">
        <v>0</v>
      </c>
      <c r="M117" s="420">
        <v>0</v>
      </c>
      <c r="N117" s="434">
        <v>92</v>
      </c>
      <c r="O117" s="434">
        <v>98850</v>
      </c>
      <c r="P117" s="420">
        <v>0</v>
      </c>
      <c r="Q117" s="420">
        <v>0</v>
      </c>
      <c r="R117" s="420">
        <v>0</v>
      </c>
      <c r="S117" s="420">
        <v>0</v>
      </c>
      <c r="T117" s="420"/>
      <c r="U117" s="420"/>
      <c r="V117" s="420">
        <f>_xlfn.IFNA(VLOOKUP(A117,[3]進出口值表查詢結果!$C$11:$F$68,4,0),-[4]整車!$B$22)</f>
        <v>22</v>
      </c>
      <c r="W117" s="420">
        <f>_xlfn.IFNA(VLOOKUP(A117,[3]進出口值表查詢結果!$C$11:$F$68,3,0),-[4]整車!$B$22)</f>
        <v>28492</v>
      </c>
      <c r="X117" s="420">
        <f>_xlfn.IFNA(VLOOKUP(A117,[5]進出口值表查詢結果!$C$11:$F$68,4,0),-[4]整車!$B$22)</f>
        <v>0</v>
      </c>
      <c r="Y117" s="420">
        <f>_xlfn.IFNA(VLOOKUP(A117,[5]進出口值表查詢結果!$C$11:$F$68,3,0),-[4]整車!$B$22)</f>
        <v>0</v>
      </c>
      <c r="Z117" s="414">
        <f t="shared" si="22"/>
        <v>205</v>
      </c>
      <c r="AA117" s="414">
        <f t="shared" si="23"/>
        <v>232707</v>
      </c>
    </row>
    <row r="118" spans="1:27">
      <c r="A118" s="457" t="s">
        <v>311</v>
      </c>
      <c r="B118" s="420"/>
      <c r="C118" s="420"/>
      <c r="D118" s="420"/>
      <c r="E118" s="420"/>
      <c r="F118" s="420">
        <v>0</v>
      </c>
      <c r="G118" s="420"/>
      <c r="H118" s="420">
        <v>0</v>
      </c>
      <c r="I118" s="420">
        <v>0</v>
      </c>
      <c r="J118" s="421" t="s">
        <v>60</v>
      </c>
      <c r="K118" s="424" t="s">
        <v>60</v>
      </c>
      <c r="L118" s="420">
        <v>0</v>
      </c>
      <c r="M118" s="420">
        <v>0</v>
      </c>
      <c r="N118" s="420">
        <v>0</v>
      </c>
      <c r="O118" s="420">
        <v>0</v>
      </c>
      <c r="P118" s="420">
        <v>0</v>
      </c>
      <c r="Q118" s="420">
        <v>0</v>
      </c>
      <c r="R118" s="420">
        <v>4</v>
      </c>
      <c r="S118" s="420">
        <v>4008</v>
      </c>
      <c r="T118" s="420"/>
      <c r="U118" s="420"/>
      <c r="V118" s="420">
        <f>_xlfn.IFNA(VLOOKUP(A118,[3]進出口值表查詢結果!$C$11:$F$68,4,0),-[4]整車!$B$22)</f>
        <v>0</v>
      </c>
      <c r="W118" s="420">
        <f>_xlfn.IFNA(VLOOKUP(A118,[3]進出口值表查詢結果!$C$11:$F$68,3,0),-[4]整車!$B$22)</f>
        <v>0</v>
      </c>
      <c r="X118" s="420">
        <f>_xlfn.IFNA(VLOOKUP(A118,[5]進出口值表查詢結果!$C$11:$F$68,4,0),-[4]整車!$B$22)</f>
        <v>0</v>
      </c>
      <c r="Y118" s="420">
        <f>_xlfn.IFNA(VLOOKUP(A118,[5]進出口值表查詢結果!$C$11:$F$68,3,0),-[4]整車!$B$22)</f>
        <v>0</v>
      </c>
      <c r="Z118" s="414">
        <f t="shared" si="22"/>
        <v>4</v>
      </c>
      <c r="AA118" s="414">
        <f t="shared" si="23"/>
        <v>4008</v>
      </c>
    </row>
    <row r="119" spans="1:27">
      <c r="A119" s="457" t="s">
        <v>312</v>
      </c>
      <c r="B119" s="420"/>
      <c r="C119" s="420"/>
      <c r="D119" s="420"/>
      <c r="E119" s="420"/>
      <c r="F119" s="420">
        <v>0</v>
      </c>
      <c r="G119" s="420"/>
      <c r="H119" s="420">
        <v>0</v>
      </c>
      <c r="I119" s="420">
        <v>0</v>
      </c>
      <c r="J119" s="421" t="s">
        <v>60</v>
      </c>
      <c r="K119" s="424" t="s">
        <v>60</v>
      </c>
      <c r="L119" s="420">
        <v>0</v>
      </c>
      <c r="M119" s="420">
        <v>0</v>
      </c>
      <c r="N119" s="420">
        <v>0</v>
      </c>
      <c r="O119" s="420">
        <v>0</v>
      </c>
      <c r="P119" s="420">
        <v>0</v>
      </c>
      <c r="Q119" s="420">
        <v>0</v>
      </c>
      <c r="R119" s="420">
        <v>0</v>
      </c>
      <c r="S119" s="420">
        <v>0</v>
      </c>
      <c r="T119" s="420"/>
      <c r="U119" s="420"/>
      <c r="V119" s="420">
        <f>_xlfn.IFNA(VLOOKUP(A119,[3]進出口值表查詢結果!$C$11:$F$68,4,0),-[4]整車!$B$22)</f>
        <v>0</v>
      </c>
      <c r="W119" s="420">
        <f>_xlfn.IFNA(VLOOKUP(A119,[3]進出口值表查詢結果!$C$11:$F$68,3,0),-[4]整車!$B$22)</f>
        <v>0</v>
      </c>
      <c r="X119" s="420">
        <f>_xlfn.IFNA(VLOOKUP(A119,[5]進出口值表查詢結果!$C$11:$F$68,4,0),-[4]整車!$B$22)</f>
        <v>0</v>
      </c>
      <c r="Y119" s="420">
        <f>_xlfn.IFNA(VLOOKUP(A119,[5]進出口值表查詢結果!$C$11:$F$68,3,0),-[4]整車!$B$22)</f>
        <v>0</v>
      </c>
      <c r="Z119" s="414">
        <f t="shared" si="22"/>
        <v>0</v>
      </c>
      <c r="AA119" s="414">
        <f t="shared" si="23"/>
        <v>0</v>
      </c>
    </row>
    <row r="120" spans="1:27">
      <c r="A120" s="457" t="s">
        <v>397</v>
      </c>
      <c r="B120" s="420">
        <v>30</v>
      </c>
      <c r="C120" s="420">
        <v>47684</v>
      </c>
      <c r="D120" s="420">
        <v>18</v>
      </c>
      <c r="E120" s="420">
        <v>21652</v>
      </c>
      <c r="F120" s="420">
        <v>40</v>
      </c>
      <c r="G120" s="420">
        <v>80054</v>
      </c>
      <c r="H120" s="420">
        <v>31</v>
      </c>
      <c r="I120" s="420">
        <v>62073</v>
      </c>
      <c r="J120" s="421" t="s">
        <v>60</v>
      </c>
      <c r="K120" s="424" t="s">
        <v>60</v>
      </c>
      <c r="L120" s="420">
        <v>93</v>
      </c>
      <c r="M120" s="420">
        <v>149531</v>
      </c>
      <c r="N120" s="434">
        <v>44</v>
      </c>
      <c r="O120" s="434">
        <v>69675</v>
      </c>
      <c r="P120" s="420">
        <v>115</v>
      </c>
      <c r="Q120" s="420">
        <v>177702</v>
      </c>
      <c r="R120" s="420">
        <v>11</v>
      </c>
      <c r="S120" s="420">
        <v>29144</v>
      </c>
      <c r="T120" s="420">
        <v>86</v>
      </c>
      <c r="U120" s="420">
        <v>116179</v>
      </c>
      <c r="V120" s="420">
        <f>_xlfn.IFNA(VLOOKUP(A120,[3]進出口值表查詢結果!$C$11:$F$68,4,0),-[4]整車!$B$22)</f>
        <v>1</v>
      </c>
      <c r="W120" s="420">
        <f>_xlfn.IFNA(VLOOKUP(A120,[3]進出口值表查詢結果!$C$11:$F$68,3,0),-[4]整車!$B$22)</f>
        <v>3605</v>
      </c>
      <c r="X120" s="420">
        <f>_xlfn.IFNA(VLOOKUP(A120,[5]進出口值表查詢結果!$C$11:$F$68,4,0),-[4]整車!$B$22)</f>
        <v>246</v>
      </c>
      <c r="Y120" s="420">
        <f>_xlfn.IFNA(VLOOKUP(A120,[5]進出口值表查詢結果!$C$11:$F$68,3,0),-[4]整車!$B$22)</f>
        <v>224562</v>
      </c>
      <c r="Z120" s="414">
        <f t="shared" si="22"/>
        <v>715</v>
      </c>
      <c r="AA120" s="414">
        <f t="shared" si="23"/>
        <v>981861</v>
      </c>
    </row>
    <row r="121" spans="1:27">
      <c r="A121" s="457" t="s">
        <v>313</v>
      </c>
      <c r="B121" s="420"/>
      <c r="C121" s="420"/>
      <c r="D121" s="420"/>
      <c r="E121" s="420"/>
      <c r="F121" s="420">
        <v>0</v>
      </c>
      <c r="G121" s="420"/>
      <c r="H121" s="420">
        <v>0</v>
      </c>
      <c r="I121" s="420">
        <v>0</v>
      </c>
      <c r="J121" s="421" t="s">
        <v>60</v>
      </c>
      <c r="K121" s="424" t="s">
        <v>60</v>
      </c>
      <c r="L121" s="420">
        <v>0</v>
      </c>
      <c r="M121" s="420">
        <v>0</v>
      </c>
      <c r="N121" s="420">
        <v>0</v>
      </c>
      <c r="O121" s="420">
        <v>0</v>
      </c>
      <c r="P121" s="420">
        <v>0</v>
      </c>
      <c r="Q121" s="420">
        <v>0</v>
      </c>
      <c r="R121" s="420">
        <v>0</v>
      </c>
      <c r="S121" s="420">
        <v>0</v>
      </c>
      <c r="T121" s="420"/>
      <c r="U121" s="420"/>
      <c r="V121" s="420">
        <f>_xlfn.IFNA(VLOOKUP(A121,[3]進出口值表查詢結果!$C$11:$F$68,4,0),-[4]整車!$B$22)</f>
        <v>0</v>
      </c>
      <c r="W121" s="420">
        <f>_xlfn.IFNA(VLOOKUP(A121,[3]進出口值表查詢結果!$C$11:$F$68,3,0),-[4]整車!$B$22)</f>
        <v>0</v>
      </c>
      <c r="X121" s="420">
        <f>_xlfn.IFNA(VLOOKUP(A121,[5]進出口值表查詢結果!$C$11:$F$68,4,0),-[4]整車!$B$22)</f>
        <v>0</v>
      </c>
      <c r="Y121" s="420">
        <f>_xlfn.IFNA(VLOOKUP(A121,[5]進出口值表查詢結果!$C$11:$F$68,3,0),-[4]整車!$B$22)</f>
        <v>0</v>
      </c>
      <c r="Z121" s="414">
        <f t="shared" si="22"/>
        <v>0</v>
      </c>
      <c r="AA121" s="414">
        <f t="shared" si="23"/>
        <v>0</v>
      </c>
    </row>
    <row r="122" spans="1:27">
      <c r="A122" s="457" t="s">
        <v>314</v>
      </c>
      <c r="B122" s="420"/>
      <c r="C122" s="420"/>
      <c r="D122" s="420"/>
      <c r="E122" s="420"/>
      <c r="F122" s="420">
        <v>0</v>
      </c>
      <c r="G122" s="420"/>
      <c r="H122" s="420">
        <v>0</v>
      </c>
      <c r="I122" s="420">
        <v>0</v>
      </c>
      <c r="J122" s="421" t="s">
        <v>60</v>
      </c>
      <c r="K122" s="424" t="s">
        <v>60</v>
      </c>
      <c r="L122" s="420">
        <v>0</v>
      </c>
      <c r="M122" s="420">
        <v>0</v>
      </c>
      <c r="N122" s="420">
        <v>0</v>
      </c>
      <c r="O122" s="420">
        <v>0</v>
      </c>
      <c r="P122" s="420">
        <v>0</v>
      </c>
      <c r="Q122" s="420">
        <v>0</v>
      </c>
      <c r="R122" s="420">
        <v>0</v>
      </c>
      <c r="S122" s="420">
        <v>0</v>
      </c>
      <c r="T122" s="420"/>
      <c r="U122" s="420"/>
      <c r="V122" s="420">
        <f>_xlfn.IFNA(VLOOKUP(A122,[3]進出口值表查詢結果!$C$11:$F$68,4,0),-[4]整車!$B$22)</f>
        <v>0</v>
      </c>
      <c r="W122" s="420">
        <f>_xlfn.IFNA(VLOOKUP(A122,[3]進出口值表查詢結果!$C$11:$F$68,3,0),-[4]整車!$B$22)</f>
        <v>0</v>
      </c>
      <c r="X122" s="420">
        <f>_xlfn.IFNA(VLOOKUP(A122,[5]進出口值表查詢結果!$C$11:$F$68,4,0),-[4]整車!$B$22)</f>
        <v>0</v>
      </c>
      <c r="Y122" s="420">
        <f>_xlfn.IFNA(VLOOKUP(A122,[5]進出口值表查詢結果!$C$11:$F$68,3,0),-[4]整車!$B$22)</f>
        <v>0</v>
      </c>
      <c r="Z122" s="414">
        <f t="shared" si="22"/>
        <v>0</v>
      </c>
      <c r="AA122" s="414">
        <f t="shared" si="23"/>
        <v>0</v>
      </c>
    </row>
    <row r="123" spans="1:27">
      <c r="A123" s="457" t="s">
        <v>315</v>
      </c>
      <c r="B123" s="420"/>
      <c r="C123" s="420"/>
      <c r="D123" s="420"/>
      <c r="E123" s="420"/>
      <c r="F123" s="420">
        <v>0</v>
      </c>
      <c r="G123" s="420"/>
      <c r="H123" s="420">
        <v>0</v>
      </c>
      <c r="I123" s="420">
        <v>0</v>
      </c>
      <c r="J123" s="421" t="s">
        <v>60</v>
      </c>
      <c r="K123" s="424" t="s">
        <v>60</v>
      </c>
      <c r="L123" s="420">
        <v>0</v>
      </c>
      <c r="M123" s="420">
        <v>0</v>
      </c>
      <c r="N123" s="420">
        <v>0</v>
      </c>
      <c r="O123" s="420">
        <v>0</v>
      </c>
      <c r="P123" s="420">
        <v>0</v>
      </c>
      <c r="Q123" s="420">
        <v>0</v>
      </c>
      <c r="R123" s="420">
        <v>0</v>
      </c>
      <c r="S123" s="420">
        <v>0</v>
      </c>
      <c r="T123" s="420"/>
      <c r="U123" s="420"/>
      <c r="V123" s="420">
        <f>_xlfn.IFNA(VLOOKUP(A123,[3]進出口值表查詢結果!$C$11:$F$68,4,0),-[4]整車!$B$22)</f>
        <v>0</v>
      </c>
      <c r="W123" s="420">
        <f>_xlfn.IFNA(VLOOKUP(A123,[3]進出口值表查詢結果!$C$11:$F$68,3,0),-[4]整車!$B$22)</f>
        <v>0</v>
      </c>
      <c r="X123" s="420">
        <f>_xlfn.IFNA(VLOOKUP(A123,[5]進出口值表查詢結果!$C$11:$F$68,4,0),-[4]整車!$B$22)</f>
        <v>0</v>
      </c>
      <c r="Y123" s="420">
        <f>_xlfn.IFNA(VLOOKUP(A123,[5]進出口值表查詢結果!$C$11:$F$68,3,0),-[4]整車!$B$22)</f>
        <v>0</v>
      </c>
      <c r="Z123" s="414">
        <f t="shared" si="22"/>
        <v>0</v>
      </c>
      <c r="AA123" s="414">
        <f t="shared" si="23"/>
        <v>0</v>
      </c>
    </row>
    <row r="124" spans="1:27">
      <c r="A124" s="457" t="s">
        <v>316</v>
      </c>
      <c r="B124" s="420"/>
      <c r="C124" s="420"/>
      <c r="D124" s="420"/>
      <c r="E124" s="420"/>
      <c r="F124" s="420">
        <v>0</v>
      </c>
      <c r="G124" s="420"/>
      <c r="H124" s="420">
        <v>0</v>
      </c>
      <c r="I124" s="420">
        <v>0</v>
      </c>
      <c r="J124" s="421" t="s">
        <v>60</v>
      </c>
      <c r="K124" s="424" t="s">
        <v>60</v>
      </c>
      <c r="L124" s="420">
        <v>0</v>
      </c>
      <c r="M124" s="420">
        <v>0</v>
      </c>
      <c r="N124" s="420">
        <v>0</v>
      </c>
      <c r="O124" s="420">
        <v>0</v>
      </c>
      <c r="P124" s="420">
        <v>0</v>
      </c>
      <c r="Q124" s="420">
        <v>0</v>
      </c>
      <c r="R124" s="420">
        <v>0</v>
      </c>
      <c r="S124" s="420">
        <v>0</v>
      </c>
      <c r="T124" s="420"/>
      <c r="U124" s="420"/>
      <c r="V124" s="420">
        <f>_xlfn.IFNA(VLOOKUP(A124,[3]進出口值表查詢結果!$C$11:$F$68,4,0),-[4]整車!$B$22)</f>
        <v>0</v>
      </c>
      <c r="W124" s="420">
        <f>_xlfn.IFNA(VLOOKUP(A124,[3]進出口值表查詢結果!$C$11:$F$68,3,0),-[4]整車!$B$22)</f>
        <v>0</v>
      </c>
      <c r="X124" s="420">
        <f>_xlfn.IFNA(VLOOKUP(A124,[5]進出口值表查詢結果!$C$11:$F$68,4,0),-[4]整車!$B$22)</f>
        <v>0</v>
      </c>
      <c r="Y124" s="420">
        <f>_xlfn.IFNA(VLOOKUP(A124,[5]進出口值表查詢結果!$C$11:$F$68,3,0),-[4]整車!$B$22)</f>
        <v>0</v>
      </c>
      <c r="Z124" s="414">
        <f t="shared" si="22"/>
        <v>0</v>
      </c>
      <c r="AA124" s="414">
        <f t="shared" si="23"/>
        <v>0</v>
      </c>
    </row>
    <row r="125" spans="1:27">
      <c r="A125" s="457" t="s">
        <v>317</v>
      </c>
      <c r="B125" s="420"/>
      <c r="C125" s="420"/>
      <c r="D125" s="420"/>
      <c r="E125" s="420"/>
      <c r="F125" s="420">
        <v>0</v>
      </c>
      <c r="G125" s="420"/>
      <c r="H125" s="420">
        <v>0</v>
      </c>
      <c r="I125" s="420">
        <v>0</v>
      </c>
      <c r="J125" s="421" t="s">
        <v>60</v>
      </c>
      <c r="K125" s="424" t="s">
        <v>60</v>
      </c>
      <c r="L125" s="420">
        <v>0</v>
      </c>
      <c r="M125" s="420">
        <v>0</v>
      </c>
      <c r="N125" s="420">
        <v>0</v>
      </c>
      <c r="O125" s="420">
        <v>0</v>
      </c>
      <c r="P125" s="420">
        <v>0</v>
      </c>
      <c r="Q125" s="420">
        <v>0</v>
      </c>
      <c r="R125" s="420">
        <v>0</v>
      </c>
      <c r="S125" s="420">
        <v>0</v>
      </c>
      <c r="T125" s="420"/>
      <c r="U125" s="420"/>
      <c r="V125" s="420">
        <f>_xlfn.IFNA(VLOOKUP(A125,[3]進出口值表查詢結果!$C$11:$F$68,4,0),-[4]整車!$B$22)</f>
        <v>0</v>
      </c>
      <c r="W125" s="420">
        <f>_xlfn.IFNA(VLOOKUP(A125,[3]進出口值表查詢結果!$C$11:$F$68,3,0),-[4]整車!$B$22)</f>
        <v>0</v>
      </c>
      <c r="X125" s="420">
        <f>_xlfn.IFNA(VLOOKUP(A125,[5]進出口值表查詢結果!$C$11:$F$68,4,0),-[4]整車!$B$22)</f>
        <v>0</v>
      </c>
      <c r="Y125" s="420">
        <f>_xlfn.IFNA(VLOOKUP(A125,[5]進出口值表查詢結果!$C$11:$F$68,3,0),-[4]整車!$B$22)</f>
        <v>0</v>
      </c>
      <c r="Z125" s="414">
        <f t="shared" si="22"/>
        <v>0</v>
      </c>
      <c r="AA125" s="414">
        <f t="shared" si="23"/>
        <v>0</v>
      </c>
    </row>
    <row r="126" spans="1:27">
      <c r="A126" s="457" t="s">
        <v>194</v>
      </c>
      <c r="B126" s="420"/>
      <c r="C126" s="420"/>
      <c r="D126" s="420"/>
      <c r="E126" s="420"/>
      <c r="F126" s="420">
        <v>0</v>
      </c>
      <c r="G126" s="420"/>
      <c r="H126" s="420">
        <v>0</v>
      </c>
      <c r="I126" s="420">
        <v>0</v>
      </c>
      <c r="J126" s="421" t="s">
        <v>60</v>
      </c>
      <c r="K126" s="424" t="s">
        <v>60</v>
      </c>
      <c r="L126" s="420">
        <v>0</v>
      </c>
      <c r="M126" s="420">
        <v>0</v>
      </c>
      <c r="N126" s="420">
        <v>0</v>
      </c>
      <c r="O126" s="420">
        <v>0</v>
      </c>
      <c r="P126" s="420">
        <v>0</v>
      </c>
      <c r="Q126" s="420">
        <v>0</v>
      </c>
      <c r="R126" s="420">
        <v>0</v>
      </c>
      <c r="S126" s="420">
        <v>0</v>
      </c>
      <c r="T126" s="420"/>
      <c r="U126" s="420"/>
      <c r="V126" s="420">
        <f>_xlfn.IFNA(VLOOKUP(A126,[3]進出口值表查詢結果!$C$11:$F$68,4,0),-[4]整車!$B$22)</f>
        <v>0</v>
      </c>
      <c r="W126" s="420">
        <f>_xlfn.IFNA(VLOOKUP(A126,[3]進出口值表查詢結果!$C$11:$F$68,3,0),-[4]整車!$B$22)</f>
        <v>0</v>
      </c>
      <c r="X126" s="420">
        <f>_xlfn.IFNA(VLOOKUP(A126,[5]進出口值表查詢結果!$C$11:$F$68,4,0),-[4]整車!$B$22)</f>
        <v>0</v>
      </c>
      <c r="Y126" s="420">
        <f>_xlfn.IFNA(VLOOKUP(A126,[5]進出口值表查詢結果!$C$11:$F$68,3,0),-[4]整車!$B$22)</f>
        <v>0</v>
      </c>
      <c r="Z126" s="414">
        <f t="shared" si="22"/>
        <v>0</v>
      </c>
      <c r="AA126" s="414">
        <f t="shared" si="23"/>
        <v>0</v>
      </c>
    </row>
    <row r="127" spans="1:27">
      <c r="A127" s="457" t="s">
        <v>318</v>
      </c>
      <c r="B127" s="420">
        <v>111</v>
      </c>
      <c r="C127" s="420">
        <v>54549</v>
      </c>
      <c r="D127" s="420">
        <v>92</v>
      </c>
      <c r="E127" s="420">
        <v>90640</v>
      </c>
      <c r="F127" s="420">
        <v>82</v>
      </c>
      <c r="G127" s="420">
        <v>150017</v>
      </c>
      <c r="H127" s="420">
        <v>0</v>
      </c>
      <c r="I127" s="420">
        <v>0</v>
      </c>
      <c r="J127" s="421">
        <v>84</v>
      </c>
      <c r="K127" s="422">
        <v>97060</v>
      </c>
      <c r="L127" s="420">
        <v>0</v>
      </c>
      <c r="M127" s="420">
        <v>0</v>
      </c>
      <c r="N127" s="434">
        <v>68</v>
      </c>
      <c r="O127" s="434">
        <v>99493</v>
      </c>
      <c r="P127" s="420">
        <v>0</v>
      </c>
      <c r="Q127" s="420">
        <v>0</v>
      </c>
      <c r="R127" s="420">
        <v>0</v>
      </c>
      <c r="S127" s="420">
        <v>0</v>
      </c>
      <c r="T127" s="420">
        <v>65</v>
      </c>
      <c r="U127" s="420">
        <v>92599</v>
      </c>
      <c r="V127" s="420">
        <f>_xlfn.IFNA(VLOOKUP(A127,[3]進出口值表查詢結果!$C$11:$F$68,4,0),-[4]整車!$B$22)</f>
        <v>0</v>
      </c>
      <c r="W127" s="420">
        <f>_xlfn.IFNA(VLOOKUP(A127,[3]進出口值表查詢結果!$C$11:$F$68,3,0),-[4]整車!$B$22)</f>
        <v>0</v>
      </c>
      <c r="X127" s="420">
        <f>_xlfn.IFNA(VLOOKUP(A127,[5]進出口值表查詢結果!$C$11:$F$68,4,0),-[4]整車!$B$22)</f>
        <v>184</v>
      </c>
      <c r="Y127" s="420">
        <f>_xlfn.IFNA(VLOOKUP(A127,[5]進出口值表查詢結果!$C$11:$F$68,3,0),-[4]整車!$B$22)</f>
        <v>163785</v>
      </c>
      <c r="Z127" s="414">
        <f t="shared" si="22"/>
        <v>686</v>
      </c>
      <c r="AA127" s="414">
        <f t="shared" si="23"/>
        <v>748143</v>
      </c>
    </row>
    <row r="128" spans="1:27">
      <c r="A128" s="457" t="s">
        <v>319</v>
      </c>
      <c r="B128" s="420"/>
      <c r="C128" s="420"/>
      <c r="D128" s="420"/>
      <c r="E128" s="420"/>
      <c r="F128" s="420">
        <v>0</v>
      </c>
      <c r="G128" s="420"/>
      <c r="H128" s="420">
        <v>0</v>
      </c>
      <c r="I128" s="420">
        <v>0</v>
      </c>
      <c r="J128" s="421" t="s">
        <v>60</v>
      </c>
      <c r="K128" s="424" t="s">
        <v>60</v>
      </c>
      <c r="L128" s="420">
        <v>0</v>
      </c>
      <c r="M128" s="420">
        <v>0</v>
      </c>
      <c r="N128" s="420">
        <v>0</v>
      </c>
      <c r="O128" s="420">
        <v>0</v>
      </c>
      <c r="P128" s="420">
        <v>0</v>
      </c>
      <c r="Q128" s="420">
        <v>0</v>
      </c>
      <c r="R128" s="420">
        <v>0</v>
      </c>
      <c r="S128" s="420">
        <v>0</v>
      </c>
      <c r="T128" s="420"/>
      <c r="U128" s="420"/>
      <c r="V128" s="420">
        <f>_xlfn.IFNA(VLOOKUP(A128,[3]進出口值表查詢結果!$C$11:$F$68,4,0),-[4]整車!$B$22)</f>
        <v>0</v>
      </c>
      <c r="W128" s="420">
        <f>_xlfn.IFNA(VLOOKUP(A128,[3]進出口值表查詢結果!$C$11:$F$68,3,0),-[4]整車!$B$22)</f>
        <v>0</v>
      </c>
      <c r="X128" s="420">
        <f>_xlfn.IFNA(VLOOKUP(A128,[5]進出口值表查詢結果!$C$11:$F$68,4,0),-[4]整車!$B$22)</f>
        <v>0</v>
      </c>
      <c r="Y128" s="420">
        <f>_xlfn.IFNA(VLOOKUP(A128,[5]進出口值表查詢結果!$C$11:$F$68,3,0),-[4]整車!$B$22)</f>
        <v>0</v>
      </c>
      <c r="Z128" s="414">
        <f t="shared" si="22"/>
        <v>0</v>
      </c>
      <c r="AA128" s="414">
        <f t="shared" si="23"/>
        <v>0</v>
      </c>
    </row>
    <row r="129" spans="1:27">
      <c r="A129" s="457" t="s">
        <v>320</v>
      </c>
      <c r="B129" s="420"/>
      <c r="C129" s="420"/>
      <c r="D129" s="420"/>
      <c r="E129" s="420"/>
      <c r="F129" s="420">
        <v>0</v>
      </c>
      <c r="G129" s="420"/>
      <c r="H129" s="420">
        <v>0</v>
      </c>
      <c r="I129" s="420">
        <v>0</v>
      </c>
      <c r="J129" s="421" t="s">
        <v>60</v>
      </c>
      <c r="K129" s="424" t="s">
        <v>60</v>
      </c>
      <c r="L129" s="420">
        <v>0</v>
      </c>
      <c r="M129" s="420">
        <v>0</v>
      </c>
      <c r="N129" s="420">
        <v>0</v>
      </c>
      <c r="O129" s="420">
        <v>0</v>
      </c>
      <c r="P129" s="420">
        <v>0</v>
      </c>
      <c r="Q129" s="420">
        <v>0</v>
      </c>
      <c r="R129" s="420">
        <v>0</v>
      </c>
      <c r="S129" s="420">
        <v>0</v>
      </c>
      <c r="T129" s="420"/>
      <c r="U129" s="420"/>
      <c r="V129" s="420">
        <f>_xlfn.IFNA(VLOOKUP(A129,[3]進出口值表查詢結果!$C$11:$F$68,4,0),-[4]整車!$B$22)</f>
        <v>0</v>
      </c>
      <c r="W129" s="420">
        <f>_xlfn.IFNA(VLOOKUP(A129,[3]進出口值表查詢結果!$C$11:$F$68,3,0),-[4]整車!$B$22)</f>
        <v>0</v>
      </c>
      <c r="X129" s="420">
        <f>_xlfn.IFNA(VLOOKUP(A129,[5]進出口值表查詢結果!$C$11:$F$68,4,0),-[4]整車!$B$22)</f>
        <v>0</v>
      </c>
      <c r="Y129" s="420">
        <f>_xlfn.IFNA(VLOOKUP(A129,[5]進出口值表查詢結果!$C$11:$F$68,3,0),-[4]整車!$B$22)</f>
        <v>0</v>
      </c>
      <c r="Z129" s="414">
        <f t="shared" si="22"/>
        <v>0</v>
      </c>
      <c r="AA129" s="414">
        <f t="shared" si="23"/>
        <v>0</v>
      </c>
    </row>
    <row r="130" spans="1:27">
      <c r="A130" s="419" t="s">
        <v>321</v>
      </c>
      <c r="B130" s="420"/>
      <c r="C130" s="420"/>
      <c r="D130" s="420"/>
      <c r="E130" s="420"/>
      <c r="F130" s="420">
        <v>0</v>
      </c>
      <c r="G130" s="420"/>
      <c r="H130" s="420">
        <v>0</v>
      </c>
      <c r="I130" s="420">
        <v>0</v>
      </c>
      <c r="J130" s="421" t="s">
        <v>60</v>
      </c>
      <c r="K130" s="424" t="s">
        <v>60</v>
      </c>
      <c r="L130" s="420">
        <v>0</v>
      </c>
      <c r="M130" s="420">
        <v>0</v>
      </c>
      <c r="N130" s="420">
        <v>0</v>
      </c>
      <c r="O130" s="420">
        <v>0</v>
      </c>
      <c r="P130" s="420">
        <v>0</v>
      </c>
      <c r="Q130" s="420">
        <v>0</v>
      </c>
      <c r="R130" s="420">
        <v>0</v>
      </c>
      <c r="S130" s="420">
        <v>0</v>
      </c>
      <c r="T130" s="420"/>
      <c r="U130" s="420"/>
      <c r="V130" s="420">
        <f>_xlfn.IFNA(VLOOKUP(A130,[3]進出口值表查詢結果!$C$11:$F$68,4,0),-[4]整車!$B$22)</f>
        <v>0</v>
      </c>
      <c r="W130" s="420">
        <f>_xlfn.IFNA(VLOOKUP(A130,[3]進出口值表查詢結果!$C$11:$F$68,3,0),-[4]整車!$B$22)</f>
        <v>0</v>
      </c>
      <c r="X130" s="420">
        <f>_xlfn.IFNA(VLOOKUP(A130,[5]進出口值表查詢結果!$C$11:$F$68,4,0),-[4]整車!$B$22)</f>
        <v>0</v>
      </c>
      <c r="Y130" s="420">
        <f>_xlfn.IFNA(VLOOKUP(A130,[5]進出口值表查詢結果!$C$11:$F$68,3,0),-[4]整車!$B$22)</f>
        <v>0</v>
      </c>
      <c r="Z130" s="414">
        <f t="shared" si="22"/>
        <v>0</v>
      </c>
      <c r="AA130" s="414">
        <f t="shared" si="23"/>
        <v>0</v>
      </c>
    </row>
    <row r="131" spans="1:27">
      <c r="A131" s="457" t="s">
        <v>322</v>
      </c>
      <c r="B131" s="420"/>
      <c r="C131" s="420"/>
      <c r="D131" s="420"/>
      <c r="E131" s="420"/>
      <c r="F131" s="420">
        <v>0</v>
      </c>
      <c r="G131" s="420"/>
      <c r="H131" s="420">
        <v>0</v>
      </c>
      <c r="I131" s="420">
        <v>0</v>
      </c>
      <c r="J131" s="421" t="s">
        <v>60</v>
      </c>
      <c r="K131" s="424" t="s">
        <v>60</v>
      </c>
      <c r="L131" s="420">
        <v>0</v>
      </c>
      <c r="M131" s="420">
        <v>0</v>
      </c>
      <c r="N131" s="420">
        <v>0</v>
      </c>
      <c r="O131" s="420">
        <v>0</v>
      </c>
      <c r="P131" s="420">
        <v>0</v>
      </c>
      <c r="Q131" s="420">
        <v>0</v>
      </c>
      <c r="R131" s="420">
        <v>0</v>
      </c>
      <c r="S131" s="420">
        <v>0</v>
      </c>
      <c r="T131" s="420"/>
      <c r="U131" s="420"/>
      <c r="V131" s="420">
        <f>_xlfn.IFNA(VLOOKUP(A131,[3]進出口值表查詢結果!$C$11:$F$68,4,0),-[4]整車!$B$22)</f>
        <v>0</v>
      </c>
      <c r="W131" s="420">
        <f>_xlfn.IFNA(VLOOKUP(A131,[3]進出口值表查詢結果!$C$11:$F$68,3,0),-[4]整車!$B$22)</f>
        <v>0</v>
      </c>
      <c r="X131" s="420">
        <f>_xlfn.IFNA(VLOOKUP(A131,[5]進出口值表查詢結果!$C$11:$F$68,4,0),-[4]整車!$B$22)</f>
        <v>0</v>
      </c>
      <c r="Y131" s="420">
        <f>_xlfn.IFNA(VLOOKUP(A131,[5]進出口值表查詢結果!$C$11:$F$68,3,0),-[4]整車!$B$22)</f>
        <v>0</v>
      </c>
      <c r="Z131" s="414">
        <f t="shared" si="22"/>
        <v>0</v>
      </c>
      <c r="AA131" s="414">
        <f t="shared" si="23"/>
        <v>0</v>
      </c>
    </row>
    <row r="132" spans="1:27">
      <c r="A132" s="457" t="s">
        <v>323</v>
      </c>
      <c r="B132" s="420"/>
      <c r="C132" s="420"/>
      <c r="D132" s="420"/>
      <c r="E132" s="420"/>
      <c r="F132" s="420">
        <v>0</v>
      </c>
      <c r="G132" s="420"/>
      <c r="H132" s="420">
        <v>0</v>
      </c>
      <c r="I132" s="420">
        <v>0</v>
      </c>
      <c r="J132" s="421" t="s">
        <v>60</v>
      </c>
      <c r="K132" s="424" t="s">
        <v>60</v>
      </c>
      <c r="L132" s="420">
        <v>0</v>
      </c>
      <c r="M132" s="420">
        <v>0</v>
      </c>
      <c r="N132" s="420">
        <v>0</v>
      </c>
      <c r="O132" s="420">
        <v>0</v>
      </c>
      <c r="P132" s="420">
        <v>0</v>
      </c>
      <c r="Q132" s="420">
        <v>0</v>
      </c>
      <c r="R132" s="420">
        <v>0</v>
      </c>
      <c r="S132" s="420">
        <v>0</v>
      </c>
      <c r="T132" s="420"/>
      <c r="U132" s="420"/>
      <c r="V132" s="420">
        <f>_xlfn.IFNA(VLOOKUP(A132,[3]進出口值表查詢結果!$C$11:$F$68,4,0),-[4]整車!$B$22)</f>
        <v>0</v>
      </c>
      <c r="W132" s="420">
        <f>_xlfn.IFNA(VLOOKUP(A132,[3]進出口值表查詢結果!$C$11:$F$68,3,0),-[4]整車!$B$22)</f>
        <v>0</v>
      </c>
      <c r="X132" s="420">
        <f>_xlfn.IFNA(VLOOKUP(A132,[5]進出口值表查詢結果!$C$11:$F$68,4,0),-[4]整車!$B$22)</f>
        <v>0</v>
      </c>
      <c r="Y132" s="420">
        <f>_xlfn.IFNA(VLOOKUP(A132,[5]進出口值表查詢結果!$C$11:$F$68,3,0),-[4]整車!$B$22)</f>
        <v>0</v>
      </c>
      <c r="Z132" s="414">
        <f t="shared" si="22"/>
        <v>0</v>
      </c>
      <c r="AA132" s="414">
        <f t="shared" si="23"/>
        <v>0</v>
      </c>
    </row>
    <row r="133" spans="1:27">
      <c r="A133" s="457" t="s">
        <v>324</v>
      </c>
      <c r="B133" s="420"/>
      <c r="C133" s="420"/>
      <c r="D133" s="420"/>
      <c r="E133" s="420"/>
      <c r="F133" s="420">
        <v>0</v>
      </c>
      <c r="G133" s="420"/>
      <c r="H133" s="420">
        <v>0</v>
      </c>
      <c r="I133" s="420">
        <v>0</v>
      </c>
      <c r="J133" s="421" t="s">
        <v>60</v>
      </c>
      <c r="K133" s="424" t="s">
        <v>60</v>
      </c>
      <c r="L133" s="420">
        <v>0</v>
      </c>
      <c r="M133" s="420">
        <v>0</v>
      </c>
      <c r="N133" s="420">
        <v>0</v>
      </c>
      <c r="O133" s="420">
        <v>0</v>
      </c>
      <c r="P133" s="420">
        <v>0</v>
      </c>
      <c r="Q133" s="420">
        <v>0</v>
      </c>
      <c r="R133" s="420">
        <v>0</v>
      </c>
      <c r="S133" s="420">
        <v>0</v>
      </c>
      <c r="T133" s="420"/>
      <c r="U133" s="420"/>
      <c r="V133" s="420">
        <f>_xlfn.IFNA(VLOOKUP(A133,[3]進出口值表查詢結果!$C$11:$F$68,4,0),-[4]整車!$B$22)</f>
        <v>0</v>
      </c>
      <c r="W133" s="420">
        <f>_xlfn.IFNA(VLOOKUP(A133,[3]進出口值表查詢結果!$C$11:$F$68,3,0),-[4]整車!$B$22)</f>
        <v>0</v>
      </c>
      <c r="X133" s="420">
        <f>_xlfn.IFNA(VLOOKUP(A133,[5]進出口值表查詢結果!$C$11:$F$68,4,0),-[4]整車!$B$22)</f>
        <v>0</v>
      </c>
      <c r="Y133" s="420">
        <f>_xlfn.IFNA(VLOOKUP(A133,[5]進出口值表查詢結果!$C$11:$F$68,3,0),-[4]整車!$B$22)</f>
        <v>0</v>
      </c>
      <c r="Z133" s="414">
        <f t="shared" si="22"/>
        <v>0</v>
      </c>
      <c r="AA133" s="414">
        <f t="shared" si="23"/>
        <v>0</v>
      </c>
    </row>
    <row r="134" spans="1:27">
      <c r="A134" s="457" t="s">
        <v>325</v>
      </c>
      <c r="B134" s="420"/>
      <c r="C134" s="420"/>
      <c r="D134" s="420"/>
      <c r="E134" s="420"/>
      <c r="F134" s="420">
        <v>0</v>
      </c>
      <c r="G134" s="420"/>
      <c r="H134" s="420">
        <v>0</v>
      </c>
      <c r="I134" s="420">
        <v>0</v>
      </c>
      <c r="J134" s="421" t="s">
        <v>60</v>
      </c>
      <c r="K134" s="444" t="s">
        <v>60</v>
      </c>
      <c r="L134" s="420">
        <v>0</v>
      </c>
      <c r="M134" s="420">
        <v>0</v>
      </c>
      <c r="N134" s="420">
        <v>0</v>
      </c>
      <c r="O134" s="420">
        <v>0</v>
      </c>
      <c r="P134" s="420">
        <v>0</v>
      </c>
      <c r="Q134" s="420">
        <v>0</v>
      </c>
      <c r="R134" s="420">
        <v>0</v>
      </c>
      <c r="S134" s="420">
        <v>0</v>
      </c>
      <c r="T134" s="420"/>
      <c r="U134" s="420"/>
      <c r="V134" s="420">
        <f>_xlfn.IFNA(VLOOKUP(A134,[3]進出口值表查詢結果!$C$11:$F$68,4,0),-[4]整車!$B$22)</f>
        <v>0</v>
      </c>
      <c r="W134" s="420">
        <f>_xlfn.IFNA(VLOOKUP(A134,[3]進出口值表查詢結果!$C$11:$F$68,3,0),-[4]整車!$B$22)</f>
        <v>0</v>
      </c>
      <c r="X134" s="420">
        <f>_xlfn.IFNA(VLOOKUP(A134,[5]進出口值表查詢結果!$C$11:$F$68,4,0),-[4]整車!$B$22)</f>
        <v>0</v>
      </c>
      <c r="Y134" s="420">
        <f>_xlfn.IFNA(VLOOKUP(A134,[5]進出口值表查詢結果!$C$11:$F$68,3,0),-[4]整車!$B$22)</f>
        <v>0</v>
      </c>
      <c r="Z134" s="414">
        <f t="shared" si="22"/>
        <v>0</v>
      </c>
      <c r="AA134" s="414">
        <f t="shared" si="23"/>
        <v>0</v>
      </c>
    </row>
    <row r="135" spans="1:27">
      <c r="A135" s="423"/>
      <c r="B135" s="420"/>
      <c r="C135" s="420"/>
      <c r="D135" s="420"/>
      <c r="E135" s="420"/>
      <c r="F135" s="420"/>
      <c r="G135" s="420"/>
      <c r="H135" s="420"/>
      <c r="I135" s="420"/>
      <c r="J135" s="421"/>
      <c r="K135" s="422"/>
      <c r="L135" s="420"/>
      <c r="M135" s="420"/>
      <c r="N135" s="420"/>
      <c r="O135" s="420"/>
      <c r="P135" s="420"/>
      <c r="Q135" s="420"/>
      <c r="R135" s="420"/>
      <c r="S135" s="420"/>
      <c r="T135" s="420"/>
      <c r="U135" s="420"/>
      <c r="V135" s="420"/>
      <c r="W135" s="420"/>
      <c r="X135" s="420"/>
      <c r="Y135" s="420"/>
      <c r="Z135" s="414"/>
      <c r="AA135" s="414"/>
    </row>
    <row r="136" spans="1:27">
      <c r="A136" s="440" t="s">
        <v>145</v>
      </c>
      <c r="B136" s="441">
        <f t="shared" ref="B136:M136" si="24">SUM(B137:B150)</f>
        <v>391</v>
      </c>
      <c r="C136" s="441">
        <f t="shared" si="24"/>
        <v>601333</v>
      </c>
      <c r="D136" s="441">
        <f t="shared" si="24"/>
        <v>195</v>
      </c>
      <c r="E136" s="441">
        <f t="shared" si="24"/>
        <v>250399</v>
      </c>
      <c r="F136" s="441">
        <f t="shared" si="24"/>
        <v>714</v>
      </c>
      <c r="G136" s="441">
        <f t="shared" si="24"/>
        <v>599636</v>
      </c>
      <c r="H136" s="441">
        <f t="shared" si="24"/>
        <v>1024</v>
      </c>
      <c r="I136" s="441">
        <f t="shared" si="24"/>
        <v>190726</v>
      </c>
      <c r="J136" s="442">
        <f t="shared" si="24"/>
        <v>1213</v>
      </c>
      <c r="K136" s="443">
        <f t="shared" si="24"/>
        <v>446610</v>
      </c>
      <c r="L136" s="441">
        <f t="shared" si="24"/>
        <v>517</v>
      </c>
      <c r="M136" s="441">
        <f t="shared" si="24"/>
        <v>504422</v>
      </c>
      <c r="N136" s="441">
        <f>SUM(N137:N150)</f>
        <v>1680</v>
      </c>
      <c r="O136" s="441">
        <f>SUM(O137:O150)</f>
        <v>1034923</v>
      </c>
      <c r="P136" s="441">
        <f>SUM(P137:P149)</f>
        <v>1055</v>
      </c>
      <c r="Q136" s="441">
        <f>SUM(Q137:Q149)</f>
        <v>1060011</v>
      </c>
      <c r="R136" s="441">
        <f t="shared" ref="R136:Y136" si="25">SUM(R137:R150)</f>
        <v>1394</v>
      </c>
      <c r="S136" s="441">
        <f t="shared" si="25"/>
        <v>1001461</v>
      </c>
      <c r="T136" s="441">
        <f t="shared" si="25"/>
        <v>2073</v>
      </c>
      <c r="U136" s="441">
        <f t="shared" si="25"/>
        <v>1401961</v>
      </c>
      <c r="V136" s="441">
        <f>SUM(V137:V150)</f>
        <v>747</v>
      </c>
      <c r="W136" s="441">
        <f>SUM(W137:W150)</f>
        <v>547003</v>
      </c>
      <c r="X136" s="441">
        <f t="shared" si="25"/>
        <v>325</v>
      </c>
      <c r="Y136" s="441">
        <f t="shared" si="25"/>
        <v>457417</v>
      </c>
      <c r="Z136" s="427">
        <f t="shared" ref="Z136:Z167" si="26">SUM(B136,D136,F136,H136,J136,L136,N136,P136,R136,T136,V136,X136)</f>
        <v>11328</v>
      </c>
      <c r="AA136" s="427">
        <f t="shared" ref="AA136:AA167" si="27">SUM(C136,E136,G136,I136,K136,M136,O136,Q136,S136,U136,W136,Y136)</f>
        <v>8095902</v>
      </c>
    </row>
    <row r="137" spans="1:27">
      <c r="A137" s="462" t="s">
        <v>224</v>
      </c>
      <c r="B137" s="420">
        <v>7</v>
      </c>
      <c r="C137" s="420">
        <v>13229</v>
      </c>
      <c r="D137" s="420">
        <v>3</v>
      </c>
      <c r="E137" s="420">
        <v>2398</v>
      </c>
      <c r="F137" s="420">
        <v>74</v>
      </c>
      <c r="G137" s="420">
        <v>133887</v>
      </c>
      <c r="H137" s="420">
        <v>96</v>
      </c>
      <c r="I137" s="420">
        <v>168964</v>
      </c>
      <c r="J137" s="421"/>
      <c r="K137" s="422"/>
      <c r="L137" s="420">
        <v>198</v>
      </c>
      <c r="M137" s="420">
        <v>94268</v>
      </c>
      <c r="N137" s="420">
        <v>356</v>
      </c>
      <c r="O137" s="420">
        <v>453280</v>
      </c>
      <c r="P137" s="420">
        <v>591</v>
      </c>
      <c r="Q137" s="420">
        <v>597186</v>
      </c>
      <c r="R137" s="420">
        <v>397</v>
      </c>
      <c r="S137" s="420">
        <v>182473</v>
      </c>
      <c r="T137" s="420">
        <v>225</v>
      </c>
      <c r="U137" s="420">
        <v>224164</v>
      </c>
      <c r="V137" s="420">
        <f>_xlfn.IFNA(VLOOKUP(A137,[3]進出口值表查詢結果!$C$11:$F$68,4,0),-[4]整車!$B$22)</f>
        <v>121</v>
      </c>
      <c r="W137" s="420">
        <f>_xlfn.IFNA(VLOOKUP(A137,[3]進出口值表查詢結果!$C$11:$F$68,3,0),-[4]整車!$B$22)</f>
        <v>63501</v>
      </c>
      <c r="X137" s="420">
        <f>_xlfn.IFNA(VLOOKUP(A137,[5]進出口值表查詢結果!$C$11:$F$68,4,0),-[4]整車!$B$22)</f>
        <v>123</v>
      </c>
      <c r="Y137" s="420">
        <f>_xlfn.IFNA(VLOOKUP(A137,[5]進出口值表查詢結果!$C$11:$F$68,3,0),-[4]整車!$B$22)</f>
        <v>156263</v>
      </c>
      <c r="Z137" s="414">
        <f t="shared" si="26"/>
        <v>2191</v>
      </c>
      <c r="AA137" s="414">
        <f t="shared" si="27"/>
        <v>2089613</v>
      </c>
    </row>
    <row r="138" spans="1:27">
      <c r="A138" s="457" t="s">
        <v>168</v>
      </c>
      <c r="B138" s="420"/>
      <c r="C138" s="420"/>
      <c r="D138" s="420"/>
      <c r="E138" s="420"/>
      <c r="F138" s="420">
        <v>0</v>
      </c>
      <c r="G138" s="420"/>
      <c r="H138" s="420">
        <v>0</v>
      </c>
      <c r="I138" s="420">
        <v>0</v>
      </c>
      <c r="J138" s="421"/>
      <c r="K138" s="422"/>
      <c r="L138" s="420">
        <v>0</v>
      </c>
      <c r="M138" s="420">
        <v>0</v>
      </c>
      <c r="N138" s="420">
        <v>123</v>
      </c>
      <c r="O138" s="420">
        <v>61292</v>
      </c>
      <c r="P138" s="420">
        <v>0</v>
      </c>
      <c r="Q138" s="420">
        <v>0</v>
      </c>
      <c r="R138" s="420">
        <v>0</v>
      </c>
      <c r="S138" s="420">
        <v>0</v>
      </c>
      <c r="T138" s="420">
        <v>84</v>
      </c>
      <c r="U138" s="420">
        <v>105611</v>
      </c>
      <c r="V138" s="420">
        <f>_xlfn.IFNA(VLOOKUP(A138,[3]進出口值表查詢結果!$C$11:$F$68,4,0),-[4]整車!$B$22)</f>
        <v>68</v>
      </c>
      <c r="W138" s="420">
        <f>_xlfn.IFNA(VLOOKUP(A138,[3]進出口值表查詢結果!$C$11:$F$68,3,0),-[4]整車!$B$22)</f>
        <v>64056</v>
      </c>
      <c r="X138" s="420">
        <f>_xlfn.IFNA(VLOOKUP(A138,[5]進出口值表查詢結果!$C$11:$F$68,4,0),-[4]整車!$B$22)</f>
        <v>0</v>
      </c>
      <c r="Y138" s="420">
        <f>_xlfn.IFNA(VLOOKUP(A138,[5]進出口值表查詢結果!$C$11:$F$68,3,0),-[4]整車!$B$22)</f>
        <v>0</v>
      </c>
      <c r="Z138" s="414">
        <f t="shared" si="26"/>
        <v>275</v>
      </c>
      <c r="AA138" s="414">
        <f t="shared" si="27"/>
        <v>230959</v>
      </c>
    </row>
    <row r="139" spans="1:27">
      <c r="A139" s="457" t="s">
        <v>196</v>
      </c>
      <c r="B139" s="420">
        <v>280</v>
      </c>
      <c r="C139" s="420">
        <v>479573</v>
      </c>
      <c r="D139" s="420">
        <v>172</v>
      </c>
      <c r="E139" s="420">
        <v>228214</v>
      </c>
      <c r="F139" s="420">
        <v>600</v>
      </c>
      <c r="G139" s="420">
        <v>459244</v>
      </c>
      <c r="H139" s="420">
        <v>0</v>
      </c>
      <c r="I139" s="420">
        <v>0</v>
      </c>
      <c r="J139" s="421">
        <v>1213</v>
      </c>
      <c r="K139" s="422">
        <v>446610</v>
      </c>
      <c r="L139" s="420">
        <v>165</v>
      </c>
      <c r="M139" s="420">
        <v>220979</v>
      </c>
      <c r="N139" s="420">
        <v>339</v>
      </c>
      <c r="O139" s="420">
        <v>507640</v>
      </c>
      <c r="P139" s="420">
        <v>425</v>
      </c>
      <c r="Q139" s="420">
        <v>413046</v>
      </c>
      <c r="R139" s="420">
        <v>740</v>
      </c>
      <c r="S139" s="420">
        <v>667120</v>
      </c>
      <c r="T139" s="420">
        <v>1704</v>
      </c>
      <c r="U139" s="420">
        <v>1071291</v>
      </c>
      <c r="V139" s="420">
        <f>_xlfn.IFNA(VLOOKUP(A139,[3]進出口值表查詢結果!$C$11:$F$68,4,0),-[4]整車!$B$22)</f>
        <v>552</v>
      </c>
      <c r="W139" s="420">
        <f>_xlfn.IFNA(VLOOKUP(A139,[3]進出口值表查詢結果!$C$11:$F$68,3,0),-[4]整車!$B$22)</f>
        <v>411890</v>
      </c>
      <c r="X139" s="420">
        <f>_xlfn.IFNA(VLOOKUP(A139,[5]進出口值表查詢結果!$C$11:$F$68,4,0),-[4]整車!$B$22)</f>
        <v>108</v>
      </c>
      <c r="Y139" s="420">
        <f>_xlfn.IFNA(VLOOKUP(A139,[5]進出口值表查詢結果!$C$11:$F$68,3,0),-[4]整車!$B$22)</f>
        <v>192722</v>
      </c>
      <c r="Z139" s="414">
        <f t="shared" si="26"/>
        <v>6298</v>
      </c>
      <c r="AA139" s="414">
        <f t="shared" si="27"/>
        <v>5098329</v>
      </c>
    </row>
    <row r="140" spans="1:27">
      <c r="A140" s="457" t="s">
        <v>326</v>
      </c>
      <c r="B140" s="420"/>
      <c r="C140" s="420"/>
      <c r="D140" s="420"/>
      <c r="E140" s="420"/>
      <c r="F140" s="420">
        <v>0</v>
      </c>
      <c r="G140" s="420"/>
      <c r="H140" s="420">
        <v>0</v>
      </c>
      <c r="I140" s="420">
        <v>0</v>
      </c>
      <c r="J140" s="421"/>
      <c r="K140" s="422"/>
      <c r="L140" s="420">
        <v>0</v>
      </c>
      <c r="M140" s="420">
        <v>0</v>
      </c>
      <c r="N140" s="420">
        <v>0</v>
      </c>
      <c r="O140" s="420">
        <v>0</v>
      </c>
      <c r="P140" s="420">
        <v>0</v>
      </c>
      <c r="Q140" s="420">
        <v>0</v>
      </c>
      <c r="R140" s="420">
        <v>0</v>
      </c>
      <c r="S140" s="420">
        <v>0</v>
      </c>
      <c r="T140" s="420"/>
      <c r="U140" s="420"/>
      <c r="V140" s="420">
        <f>_xlfn.IFNA(VLOOKUP(A140,[3]進出口值表查詢結果!$C$11:$F$68,4,0),-[4]整車!$B$22)</f>
        <v>0</v>
      </c>
      <c r="W140" s="420">
        <f>_xlfn.IFNA(VLOOKUP(A140,[3]進出口值表查詢結果!$C$11:$F$68,3,0),-[4]整車!$B$22)</f>
        <v>0</v>
      </c>
      <c r="X140" s="420">
        <f>_xlfn.IFNA(VLOOKUP(A140,[5]進出口值表查詢結果!$C$11:$F$68,4,0),-[4]整車!$B$22)</f>
        <v>0</v>
      </c>
      <c r="Y140" s="420">
        <f>_xlfn.IFNA(VLOOKUP(A140,[5]進出口值表查詢結果!$C$11:$F$68,3,0),-[4]整車!$B$22)</f>
        <v>0</v>
      </c>
      <c r="Z140" s="414">
        <f t="shared" si="26"/>
        <v>0</v>
      </c>
      <c r="AA140" s="414">
        <f t="shared" si="27"/>
        <v>0</v>
      </c>
    </row>
    <row r="141" spans="1:27">
      <c r="A141" s="457" t="s">
        <v>327</v>
      </c>
      <c r="B141" s="420"/>
      <c r="C141" s="420"/>
      <c r="D141" s="420"/>
      <c r="E141" s="420"/>
      <c r="F141" s="420">
        <v>0</v>
      </c>
      <c r="G141" s="420"/>
      <c r="H141" s="420">
        <v>0</v>
      </c>
      <c r="I141" s="420">
        <v>0</v>
      </c>
      <c r="J141" s="421"/>
      <c r="K141" s="422"/>
      <c r="L141" s="420">
        <v>0</v>
      </c>
      <c r="M141" s="420">
        <v>0</v>
      </c>
      <c r="N141" s="420">
        <v>0</v>
      </c>
      <c r="O141" s="420">
        <v>0</v>
      </c>
      <c r="P141" s="420">
        <v>0</v>
      </c>
      <c r="Q141" s="420">
        <v>0</v>
      </c>
      <c r="R141" s="420">
        <v>0</v>
      </c>
      <c r="S141" s="420">
        <v>0</v>
      </c>
      <c r="T141" s="420"/>
      <c r="U141" s="420"/>
      <c r="V141" s="420">
        <f>_xlfn.IFNA(VLOOKUP(A141,[3]進出口值表查詢結果!$C$11:$F$68,4,0),-[4]整車!$B$22)</f>
        <v>0</v>
      </c>
      <c r="W141" s="420">
        <f>_xlfn.IFNA(VLOOKUP(A141,[3]進出口值表查詢結果!$C$11:$F$68,3,0),-[4]整車!$B$22)</f>
        <v>0</v>
      </c>
      <c r="X141" s="420">
        <f>_xlfn.IFNA(VLOOKUP(A141,[5]進出口值表查詢結果!$C$11:$F$68,4,0),-[4]整車!$B$22)</f>
        <v>0</v>
      </c>
      <c r="Y141" s="420">
        <f>_xlfn.IFNA(VLOOKUP(A141,[5]進出口值表查詢結果!$C$11:$F$68,3,0),-[4]整車!$B$22)</f>
        <v>0</v>
      </c>
      <c r="Z141" s="414">
        <f t="shared" si="26"/>
        <v>0</v>
      </c>
      <c r="AA141" s="414">
        <f t="shared" si="27"/>
        <v>0</v>
      </c>
    </row>
    <row r="142" spans="1:27">
      <c r="A142" s="457" t="s">
        <v>328</v>
      </c>
      <c r="B142" s="420">
        <v>77</v>
      </c>
      <c r="C142" s="420">
        <v>80740</v>
      </c>
      <c r="D142" s="420"/>
      <c r="E142" s="420"/>
      <c r="F142" s="420">
        <v>40</v>
      </c>
      <c r="G142" s="420">
        <v>6505</v>
      </c>
      <c r="H142" s="420">
        <v>0</v>
      </c>
      <c r="I142" s="420">
        <v>0</v>
      </c>
      <c r="J142" s="421"/>
      <c r="K142" s="422"/>
      <c r="L142" s="420">
        <v>101</v>
      </c>
      <c r="M142" s="420">
        <v>139946</v>
      </c>
      <c r="N142" s="420">
        <v>0</v>
      </c>
      <c r="O142" s="420">
        <v>0</v>
      </c>
      <c r="P142" s="420">
        <v>0</v>
      </c>
      <c r="Q142" s="420">
        <v>0</v>
      </c>
      <c r="R142" s="420">
        <v>0</v>
      </c>
      <c r="S142" s="420">
        <v>0</v>
      </c>
      <c r="T142" s="420"/>
      <c r="U142" s="420"/>
      <c r="V142" s="420">
        <f>_xlfn.IFNA(VLOOKUP(A142,[3]進出口值表查詢結果!$C$11:$F$68,4,0),-[4]整車!$B$22)</f>
        <v>0</v>
      </c>
      <c r="W142" s="420">
        <f>_xlfn.IFNA(VLOOKUP(A142,[3]進出口值表查詢結果!$C$11:$F$68,3,0),-[4]整車!$B$22)</f>
        <v>0</v>
      </c>
      <c r="X142" s="420">
        <f>_xlfn.IFNA(VLOOKUP(A142,[5]進出口值表查詢結果!$C$11:$F$68,4,0),-[4]整車!$B$22)</f>
        <v>94</v>
      </c>
      <c r="Y142" s="420">
        <f>_xlfn.IFNA(VLOOKUP(A142,[5]進出口值表查詢結果!$C$11:$F$68,3,0),-[4]整車!$B$22)</f>
        <v>108432</v>
      </c>
      <c r="Z142" s="414">
        <f t="shared" si="26"/>
        <v>312</v>
      </c>
      <c r="AA142" s="414">
        <f t="shared" si="27"/>
        <v>335623</v>
      </c>
    </row>
    <row r="143" spans="1:27">
      <c r="A143" s="457" t="s">
        <v>329</v>
      </c>
      <c r="B143" s="420"/>
      <c r="C143" s="420"/>
      <c r="D143" s="420"/>
      <c r="E143" s="420"/>
      <c r="F143" s="420">
        <v>0</v>
      </c>
      <c r="G143" s="420"/>
      <c r="H143" s="420">
        <v>0</v>
      </c>
      <c r="I143" s="420">
        <v>0</v>
      </c>
      <c r="J143" s="421"/>
      <c r="K143" s="422"/>
      <c r="L143" s="420">
        <v>25</v>
      </c>
      <c r="M143" s="420">
        <v>25972</v>
      </c>
      <c r="N143" s="420">
        <v>2</v>
      </c>
      <c r="O143" s="420">
        <v>3989</v>
      </c>
      <c r="P143" s="420">
        <v>6</v>
      </c>
      <c r="Q143" s="420">
        <v>5727</v>
      </c>
      <c r="R143" s="420">
        <v>5</v>
      </c>
      <c r="S143" s="420">
        <v>5843</v>
      </c>
      <c r="T143" s="420"/>
      <c r="U143" s="420"/>
      <c r="V143" s="420">
        <f>_xlfn.IFNA(VLOOKUP(A143,[3]進出口值表查詢結果!$C$11:$F$68,4,0),-[4]整車!$B$22)</f>
        <v>6</v>
      </c>
      <c r="W143" s="420">
        <f>_xlfn.IFNA(VLOOKUP(A143,[3]進出口值表查詢結果!$C$11:$F$68,3,0),-[4]整車!$B$22)</f>
        <v>7556</v>
      </c>
      <c r="X143" s="420">
        <f>_xlfn.IFNA(VLOOKUP(A143,[5]進出口值表查詢結果!$C$11:$F$68,4,0),-[4]整車!$B$22)</f>
        <v>0</v>
      </c>
      <c r="Y143" s="420">
        <f>_xlfn.IFNA(VLOOKUP(A143,[5]進出口值表查詢結果!$C$11:$F$68,3,0),-[4]整車!$B$22)</f>
        <v>0</v>
      </c>
      <c r="Z143" s="414">
        <f t="shared" si="26"/>
        <v>44</v>
      </c>
      <c r="AA143" s="414">
        <f t="shared" si="27"/>
        <v>49087</v>
      </c>
    </row>
    <row r="144" spans="1:27">
      <c r="A144" s="457" t="s">
        <v>330</v>
      </c>
      <c r="B144" s="420"/>
      <c r="C144" s="420"/>
      <c r="D144" s="420"/>
      <c r="E144" s="420"/>
      <c r="F144" s="420">
        <v>0</v>
      </c>
      <c r="G144" s="420"/>
      <c r="H144" s="420">
        <v>0</v>
      </c>
      <c r="I144" s="420">
        <v>0</v>
      </c>
      <c r="J144" s="421"/>
      <c r="K144" s="422"/>
      <c r="L144" s="420">
        <v>0</v>
      </c>
      <c r="M144" s="420">
        <v>0</v>
      </c>
      <c r="N144" s="420">
        <v>0</v>
      </c>
      <c r="O144" s="420">
        <v>0</v>
      </c>
      <c r="P144" s="420">
        <v>0</v>
      </c>
      <c r="Q144" s="420">
        <v>0</v>
      </c>
      <c r="R144" s="420">
        <v>0</v>
      </c>
      <c r="S144" s="420">
        <v>0</v>
      </c>
      <c r="T144" s="420"/>
      <c r="U144" s="420"/>
      <c r="V144" s="420">
        <f>_xlfn.IFNA(VLOOKUP(A144,[3]進出口值表查詢結果!$C$11:$F$68,4,0),-[4]整車!$B$22)</f>
        <v>0</v>
      </c>
      <c r="W144" s="420">
        <f>_xlfn.IFNA(VLOOKUP(A144,[3]進出口值表查詢結果!$C$11:$F$68,3,0),-[4]整車!$B$22)</f>
        <v>0</v>
      </c>
      <c r="X144" s="420">
        <f>_xlfn.IFNA(VLOOKUP(A144,[5]進出口值表查詢結果!$C$11:$F$68,4,0),-[4]整車!$B$22)</f>
        <v>0</v>
      </c>
      <c r="Y144" s="420">
        <f>_xlfn.IFNA(VLOOKUP(A144,[5]進出口值表查詢結果!$C$11:$F$68,3,0),-[4]整車!$B$22)</f>
        <v>0</v>
      </c>
      <c r="Z144" s="414">
        <f t="shared" si="26"/>
        <v>0</v>
      </c>
      <c r="AA144" s="414">
        <f t="shared" si="27"/>
        <v>0</v>
      </c>
    </row>
    <row r="145" spans="1:27">
      <c r="A145" s="457" t="s">
        <v>331</v>
      </c>
      <c r="B145" s="420"/>
      <c r="C145" s="420"/>
      <c r="D145" s="420">
        <v>20</v>
      </c>
      <c r="E145" s="420">
        <v>19787</v>
      </c>
      <c r="F145" s="420">
        <v>0</v>
      </c>
      <c r="G145" s="420"/>
      <c r="H145" s="420">
        <v>0</v>
      </c>
      <c r="I145" s="420">
        <v>0</v>
      </c>
      <c r="J145" s="421"/>
      <c r="K145" s="422"/>
      <c r="L145" s="420">
        <v>0</v>
      </c>
      <c r="M145" s="420">
        <v>0</v>
      </c>
      <c r="N145" s="420">
        <v>0</v>
      </c>
      <c r="O145" s="420">
        <v>0</v>
      </c>
      <c r="P145" s="420">
        <v>0</v>
      </c>
      <c r="Q145" s="420">
        <v>0</v>
      </c>
      <c r="R145" s="420">
        <v>0</v>
      </c>
      <c r="S145" s="420">
        <v>0</v>
      </c>
      <c r="T145" s="420"/>
      <c r="U145" s="420"/>
      <c r="V145" s="420">
        <f>_xlfn.IFNA(VLOOKUP(A145,[3]進出口值表查詢結果!$C$11:$F$68,4,0),-[4]整車!$B$22)</f>
        <v>0</v>
      </c>
      <c r="W145" s="420">
        <f>_xlfn.IFNA(VLOOKUP(A145,[3]進出口值表查詢結果!$C$11:$F$68,3,0),-[4]整車!$B$22)</f>
        <v>0</v>
      </c>
      <c r="X145" s="420">
        <f>_xlfn.IFNA(VLOOKUP(A145,[5]進出口值表查詢結果!$C$11:$F$68,4,0),-[4]整車!$B$22)</f>
        <v>0</v>
      </c>
      <c r="Y145" s="420">
        <f>_xlfn.IFNA(VLOOKUP(A145,[5]進出口值表查詢結果!$C$11:$F$68,3,0),-[4]整車!$B$22)</f>
        <v>0</v>
      </c>
      <c r="Z145" s="414">
        <f t="shared" si="26"/>
        <v>20</v>
      </c>
      <c r="AA145" s="414">
        <f t="shared" si="27"/>
        <v>19787</v>
      </c>
    </row>
    <row r="146" spans="1:27">
      <c r="A146" s="457" t="s">
        <v>332</v>
      </c>
      <c r="B146" s="420"/>
      <c r="C146" s="420"/>
      <c r="D146" s="420"/>
      <c r="E146" s="420"/>
      <c r="F146" s="420">
        <v>0</v>
      </c>
      <c r="G146" s="420"/>
      <c r="H146" s="420">
        <v>0</v>
      </c>
      <c r="I146" s="420">
        <v>0</v>
      </c>
      <c r="J146" s="421"/>
      <c r="K146" s="422"/>
      <c r="L146" s="420">
        <v>0</v>
      </c>
      <c r="M146" s="420">
        <v>0</v>
      </c>
      <c r="N146" s="420">
        <v>0</v>
      </c>
      <c r="O146" s="420">
        <v>0</v>
      </c>
      <c r="P146" s="420">
        <v>0</v>
      </c>
      <c r="Q146" s="420">
        <v>0</v>
      </c>
      <c r="R146" s="420">
        <v>0</v>
      </c>
      <c r="S146" s="420">
        <v>0</v>
      </c>
      <c r="T146" s="420"/>
      <c r="U146" s="420"/>
      <c r="V146" s="420">
        <f>_xlfn.IFNA(VLOOKUP(A146,[3]進出口值表查詢結果!$C$11:$F$68,4,0),-[4]整車!$B$22)</f>
        <v>0</v>
      </c>
      <c r="W146" s="420">
        <f>_xlfn.IFNA(VLOOKUP(A146,[3]進出口值表查詢結果!$C$11:$F$68,3,0),-[4]整車!$B$22)</f>
        <v>0</v>
      </c>
      <c r="X146" s="420">
        <f>_xlfn.IFNA(VLOOKUP(A146,[5]進出口值表查詢結果!$C$11:$F$68,4,0),-[4]整車!$B$22)</f>
        <v>0</v>
      </c>
      <c r="Y146" s="420">
        <f>_xlfn.IFNA(VLOOKUP(A146,[5]進出口值表查詢結果!$C$11:$F$68,3,0),-[4]整車!$B$22)</f>
        <v>0</v>
      </c>
      <c r="Z146" s="414">
        <f t="shared" si="26"/>
        <v>0</v>
      </c>
      <c r="AA146" s="414">
        <f t="shared" si="27"/>
        <v>0</v>
      </c>
    </row>
    <row r="147" spans="1:27">
      <c r="A147" s="457" t="s">
        <v>333</v>
      </c>
      <c r="B147" s="420">
        <v>27</v>
      </c>
      <c r="C147" s="420">
        <v>27791</v>
      </c>
      <c r="D147" s="420"/>
      <c r="E147" s="420"/>
      <c r="F147" s="420">
        <v>0</v>
      </c>
      <c r="G147" s="420"/>
      <c r="H147" s="420">
        <v>16</v>
      </c>
      <c r="I147" s="420">
        <v>12686</v>
      </c>
      <c r="J147" s="421"/>
      <c r="K147" s="422"/>
      <c r="L147" s="420">
        <v>28</v>
      </c>
      <c r="M147" s="420">
        <v>23257</v>
      </c>
      <c r="N147" s="420">
        <v>0</v>
      </c>
      <c r="O147" s="420">
        <v>0</v>
      </c>
      <c r="P147" s="420">
        <v>33</v>
      </c>
      <c r="Q147" s="420">
        <v>44052</v>
      </c>
      <c r="R147" s="420">
        <v>252</v>
      </c>
      <c r="S147" s="420">
        <v>146025</v>
      </c>
      <c r="T147" s="420"/>
      <c r="U147" s="420"/>
      <c r="V147" s="420">
        <f>_xlfn.IFNA(VLOOKUP(A147,[3]進出口值表查詢結果!$C$11:$F$68,4,0),-[4]整車!$B$22)</f>
        <v>0</v>
      </c>
      <c r="W147" s="420">
        <f>_xlfn.IFNA(VLOOKUP(A147,[3]進出口值表查詢結果!$C$11:$F$68,3,0),-[4]整車!$B$22)</f>
        <v>0</v>
      </c>
      <c r="X147" s="420">
        <f>_xlfn.IFNA(VLOOKUP(A147,[5]進出口值表查詢結果!$C$11:$F$68,4,0),-[4]整車!$B$22)</f>
        <v>0</v>
      </c>
      <c r="Y147" s="420">
        <f>_xlfn.IFNA(VLOOKUP(A147,[5]進出口值表查詢結果!$C$11:$F$68,3,0),-[4]整車!$B$22)</f>
        <v>0</v>
      </c>
      <c r="Z147" s="414">
        <f t="shared" si="26"/>
        <v>356</v>
      </c>
      <c r="AA147" s="414">
        <f t="shared" si="27"/>
        <v>253811</v>
      </c>
    </row>
    <row r="148" spans="1:27">
      <c r="A148" s="457" t="s">
        <v>334</v>
      </c>
      <c r="B148" s="420"/>
      <c r="C148" s="420"/>
      <c r="D148" s="420"/>
      <c r="E148" s="420"/>
      <c r="F148" s="420">
        <v>0</v>
      </c>
      <c r="G148" s="420"/>
      <c r="H148" s="420">
        <v>0</v>
      </c>
      <c r="I148" s="420">
        <v>0</v>
      </c>
      <c r="J148" s="421"/>
      <c r="K148" s="422"/>
      <c r="L148" s="420">
        <v>0</v>
      </c>
      <c r="M148" s="420">
        <v>0</v>
      </c>
      <c r="N148" s="420">
        <v>0</v>
      </c>
      <c r="O148" s="420">
        <v>0</v>
      </c>
      <c r="P148" s="420">
        <v>0</v>
      </c>
      <c r="Q148" s="420">
        <v>0</v>
      </c>
      <c r="R148" s="420">
        <v>0</v>
      </c>
      <c r="S148" s="420">
        <v>0</v>
      </c>
      <c r="T148" s="420"/>
      <c r="U148" s="420"/>
      <c r="V148" s="420">
        <f>_xlfn.IFNA(VLOOKUP(A148,[3]進出口值表查詢結果!$C$11:$F$68,4,0),-[4]整車!$B$22)</f>
        <v>0</v>
      </c>
      <c r="W148" s="420">
        <f>_xlfn.IFNA(VLOOKUP(A148,[3]進出口值表查詢結果!$C$11:$F$68,3,0),-[4]整車!$B$22)</f>
        <v>0</v>
      </c>
      <c r="X148" s="420">
        <f>_xlfn.IFNA(VLOOKUP(A148,[5]進出口值表查詢結果!$C$11:$F$68,4,0),-[4]整車!$B$22)</f>
        <v>0</v>
      </c>
      <c r="Y148" s="420">
        <f>_xlfn.IFNA(VLOOKUP(A148,[5]進出口值表查詢結果!$C$11:$F$68,3,0),-[4]整車!$B$22)</f>
        <v>0</v>
      </c>
      <c r="Z148" s="414">
        <f t="shared" si="26"/>
        <v>0</v>
      </c>
      <c r="AA148" s="414">
        <f t="shared" si="27"/>
        <v>0</v>
      </c>
    </row>
    <row r="149" spans="1:27">
      <c r="A149" s="457" t="s">
        <v>335</v>
      </c>
      <c r="B149" s="420"/>
      <c r="C149" s="420"/>
      <c r="D149" s="420"/>
      <c r="E149" s="420"/>
      <c r="F149" s="420">
        <v>0</v>
      </c>
      <c r="G149" s="420"/>
      <c r="H149" s="420">
        <v>0</v>
      </c>
      <c r="I149" s="420">
        <v>0</v>
      </c>
      <c r="J149" s="421"/>
      <c r="K149" s="422"/>
      <c r="L149" s="420">
        <v>0</v>
      </c>
      <c r="M149" s="420">
        <v>0</v>
      </c>
      <c r="N149" s="420">
        <v>0</v>
      </c>
      <c r="O149" s="420">
        <v>0</v>
      </c>
      <c r="P149" s="420">
        <v>0</v>
      </c>
      <c r="Q149" s="420">
        <v>0</v>
      </c>
      <c r="R149" s="420">
        <v>0</v>
      </c>
      <c r="S149" s="420">
        <v>0</v>
      </c>
      <c r="T149" s="420"/>
      <c r="U149" s="420"/>
      <c r="V149" s="420">
        <f>_xlfn.IFNA(VLOOKUP(A149,[3]進出口值表查詢結果!$C$11:$F$68,4,0),-[4]整車!$B$22)</f>
        <v>0</v>
      </c>
      <c r="W149" s="420">
        <f>_xlfn.IFNA(VLOOKUP(A149,[3]進出口值表查詢結果!$C$11:$F$68,3,0),-[4]整車!$B$22)</f>
        <v>0</v>
      </c>
      <c r="X149" s="420">
        <f>_xlfn.IFNA(VLOOKUP(A149,[5]進出口值表查詢結果!$C$11:$F$68,4,0),-[4]整車!$B$22)</f>
        <v>0</v>
      </c>
      <c r="Y149" s="420">
        <f>_xlfn.IFNA(VLOOKUP(A149,[5]進出口值表查詢結果!$C$11:$F$68,3,0),-[4]整車!$B$22)</f>
        <v>0</v>
      </c>
      <c r="Z149" s="414">
        <f t="shared" si="26"/>
        <v>0</v>
      </c>
      <c r="AA149" s="414">
        <f t="shared" si="27"/>
        <v>0</v>
      </c>
    </row>
    <row r="150" spans="1:27">
      <c r="A150" s="457" t="s">
        <v>336</v>
      </c>
      <c r="B150" s="420"/>
      <c r="C150" s="420"/>
      <c r="D150" s="420"/>
      <c r="E150" s="420"/>
      <c r="F150" s="420">
        <v>0</v>
      </c>
      <c r="G150" s="420"/>
      <c r="H150" s="420">
        <v>912</v>
      </c>
      <c r="I150" s="420">
        <v>9076</v>
      </c>
      <c r="J150" s="421"/>
      <c r="K150" s="422"/>
      <c r="L150" s="420">
        <v>0</v>
      </c>
      <c r="M150" s="420">
        <v>0</v>
      </c>
      <c r="N150" s="420">
        <v>860</v>
      </c>
      <c r="O150" s="420">
        <v>8722</v>
      </c>
      <c r="P150" s="420">
        <v>0</v>
      </c>
      <c r="Q150" s="420">
        <v>0</v>
      </c>
      <c r="R150" s="420">
        <v>0</v>
      </c>
      <c r="S150" s="420">
        <v>0</v>
      </c>
      <c r="T150" s="420">
        <v>60</v>
      </c>
      <c r="U150" s="420">
        <v>895</v>
      </c>
      <c r="V150" s="420">
        <f>_xlfn.IFNA(VLOOKUP(A150,[3]進出口值表查詢結果!$C$11:$F$68,4,0),-[4]整車!$B$22)</f>
        <v>0</v>
      </c>
      <c r="W150" s="420">
        <f>_xlfn.IFNA(VLOOKUP(A150,[3]進出口值表查詢結果!$C$11:$F$68,3,0),-[4]整車!$B$22)</f>
        <v>0</v>
      </c>
      <c r="X150" s="420">
        <f>_xlfn.IFNA(VLOOKUP(A150,[5]進出口值表查詢結果!$C$11:$F$68,4,0),-[4]整車!$B$22)</f>
        <v>0</v>
      </c>
      <c r="Y150" s="420">
        <f>_xlfn.IFNA(VLOOKUP(A150,[5]進出口值表查詢結果!$C$11:$F$68,3,0),-[4]整車!$B$22)</f>
        <v>0</v>
      </c>
      <c r="Z150" s="414">
        <f t="shared" si="26"/>
        <v>1832</v>
      </c>
      <c r="AA150" s="414">
        <f t="shared" si="27"/>
        <v>18693</v>
      </c>
    </row>
    <row r="151" spans="1:27">
      <c r="A151" s="463" t="s">
        <v>337</v>
      </c>
      <c r="B151" s="441">
        <f t="shared" ref="B151:Y151" si="28">SUM(B152:B188)</f>
        <v>438</v>
      </c>
      <c r="C151" s="441">
        <f t="shared" si="28"/>
        <v>697135</v>
      </c>
      <c r="D151" s="441">
        <f t="shared" si="28"/>
        <v>255</v>
      </c>
      <c r="E151" s="441">
        <f t="shared" si="28"/>
        <v>237208</v>
      </c>
      <c r="F151" s="441">
        <f t="shared" si="28"/>
        <v>115</v>
      </c>
      <c r="G151" s="441">
        <f t="shared" si="28"/>
        <v>139562</v>
      </c>
      <c r="H151" s="441">
        <f t="shared" si="28"/>
        <v>86</v>
      </c>
      <c r="I151" s="441">
        <f t="shared" si="28"/>
        <v>117092</v>
      </c>
      <c r="J151" s="442">
        <f t="shared" si="28"/>
        <v>613</v>
      </c>
      <c r="K151" s="443">
        <f>SUM(K152:K188)</f>
        <v>1036854</v>
      </c>
      <c r="L151" s="441">
        <f t="shared" si="28"/>
        <v>427</v>
      </c>
      <c r="M151" s="441">
        <f t="shared" si="28"/>
        <v>494605</v>
      </c>
      <c r="N151" s="441">
        <f t="shared" si="28"/>
        <v>849</v>
      </c>
      <c r="O151" s="441">
        <f t="shared" si="28"/>
        <v>1256457</v>
      </c>
      <c r="P151" s="441">
        <f t="shared" si="28"/>
        <v>1223</v>
      </c>
      <c r="Q151" s="441">
        <f t="shared" si="28"/>
        <v>669332</v>
      </c>
      <c r="R151" s="441">
        <f t="shared" si="28"/>
        <v>709</v>
      </c>
      <c r="S151" s="441">
        <f t="shared" si="28"/>
        <v>987195</v>
      </c>
      <c r="T151" s="441">
        <f t="shared" si="28"/>
        <v>318</v>
      </c>
      <c r="U151" s="441">
        <f t="shared" si="28"/>
        <v>309983</v>
      </c>
      <c r="V151" s="441">
        <f>SUM(V152:V188)</f>
        <v>638</v>
      </c>
      <c r="W151" s="441">
        <f>SUM(W152:W188)</f>
        <v>766517</v>
      </c>
      <c r="X151" s="441">
        <f t="shared" si="28"/>
        <v>526</v>
      </c>
      <c r="Y151" s="441">
        <f t="shared" si="28"/>
        <v>550560</v>
      </c>
      <c r="Z151" s="427">
        <f t="shared" si="26"/>
        <v>6197</v>
      </c>
      <c r="AA151" s="427">
        <f t="shared" si="27"/>
        <v>7262500</v>
      </c>
    </row>
    <row r="152" spans="1:27">
      <c r="A152" s="457" t="s">
        <v>185</v>
      </c>
      <c r="B152" s="420">
        <v>384</v>
      </c>
      <c r="C152" s="420">
        <v>666044</v>
      </c>
      <c r="D152" s="420">
        <v>225</v>
      </c>
      <c r="E152" s="420">
        <v>237041</v>
      </c>
      <c r="F152" s="420">
        <v>111</v>
      </c>
      <c r="G152" s="420">
        <v>136011</v>
      </c>
      <c r="H152" s="420">
        <v>36</v>
      </c>
      <c r="I152" s="420">
        <v>67009</v>
      </c>
      <c r="J152" s="421">
        <v>449</v>
      </c>
      <c r="K152" s="422">
        <v>996359</v>
      </c>
      <c r="L152" s="420">
        <v>306</v>
      </c>
      <c r="M152" s="420">
        <v>433512</v>
      </c>
      <c r="N152" s="420">
        <v>849</v>
      </c>
      <c r="O152" s="420">
        <v>1256457</v>
      </c>
      <c r="P152" s="420">
        <v>395</v>
      </c>
      <c r="Q152" s="420">
        <v>604709</v>
      </c>
      <c r="R152" s="420">
        <v>684</v>
      </c>
      <c r="S152" s="420">
        <v>986787</v>
      </c>
      <c r="T152" s="420">
        <v>211</v>
      </c>
      <c r="U152" s="420">
        <v>279759</v>
      </c>
      <c r="V152" s="420">
        <f>_xlfn.IFNA(VLOOKUP(A152,[3]進出口值表查詢結果!$C$11:$F$68,4,0),-[4]整車!$B$22)</f>
        <v>506</v>
      </c>
      <c r="W152" s="420">
        <f>_xlfn.IFNA(VLOOKUP(A152,[3]進出口值表查詢結果!$C$11:$F$68,3,0),-[4]整車!$B$22)</f>
        <v>630607</v>
      </c>
      <c r="X152" s="420">
        <f>_xlfn.IFNA(VLOOKUP(A152,[5]進出口值表查詢結果!$C$11:$F$68,4,0),-[4]整車!$B$22)</f>
        <v>360</v>
      </c>
      <c r="Y152" s="420">
        <f>_xlfn.IFNA(VLOOKUP(A152,[5]進出口值表查詢結果!$C$11:$F$68,3,0),-[4]整車!$B$22)</f>
        <v>482820</v>
      </c>
      <c r="Z152" s="414">
        <f t="shared" si="26"/>
        <v>4516</v>
      </c>
      <c r="AA152" s="414">
        <f t="shared" si="27"/>
        <v>6777115</v>
      </c>
    </row>
    <row r="153" spans="1:27">
      <c r="A153" s="457" t="s">
        <v>339</v>
      </c>
      <c r="B153" s="420">
        <v>1</v>
      </c>
      <c r="C153" s="420">
        <v>2333</v>
      </c>
      <c r="D153" s="420"/>
      <c r="E153" s="420"/>
      <c r="F153" s="420">
        <v>0</v>
      </c>
      <c r="G153" s="420"/>
      <c r="H153" s="420">
        <v>15</v>
      </c>
      <c r="I153" s="420">
        <v>19675</v>
      </c>
      <c r="J153" s="421">
        <v>39</v>
      </c>
      <c r="K153" s="422">
        <v>39292</v>
      </c>
      <c r="L153" s="420">
        <v>0</v>
      </c>
      <c r="M153" s="420">
        <v>0</v>
      </c>
      <c r="N153" s="420">
        <v>0</v>
      </c>
      <c r="O153" s="420">
        <v>0</v>
      </c>
      <c r="P153" s="420">
        <v>0</v>
      </c>
      <c r="Q153" s="420">
        <v>0</v>
      </c>
      <c r="R153" s="420">
        <v>0</v>
      </c>
      <c r="S153" s="420">
        <v>0</v>
      </c>
      <c r="T153" s="420"/>
      <c r="U153" s="420"/>
      <c r="V153" s="420">
        <f>_xlfn.IFNA(VLOOKUP(A153,[3]進出口值表查詢結果!$C$11:$F$68,4,0),-[4]整車!$B$22)</f>
        <v>132</v>
      </c>
      <c r="W153" s="420">
        <f>_xlfn.IFNA(VLOOKUP(A153,[3]進出口值表查詢結果!$C$11:$F$68,3,0),-[4]整車!$B$22)</f>
        <v>135910</v>
      </c>
      <c r="X153" s="420">
        <f>_xlfn.IFNA(VLOOKUP(A153,[5]進出口值表查詢結果!$C$11:$F$68,4,0),-[4]整車!$B$22)</f>
        <v>0</v>
      </c>
      <c r="Y153" s="420">
        <f>_xlfn.IFNA(VLOOKUP(A153,[5]進出口值表查詢結果!$C$11:$F$68,3,0),-[4]整車!$B$22)</f>
        <v>0</v>
      </c>
      <c r="Z153" s="414">
        <f t="shared" si="26"/>
        <v>187</v>
      </c>
      <c r="AA153" s="414">
        <f t="shared" si="27"/>
        <v>197210</v>
      </c>
    </row>
    <row r="154" spans="1:27">
      <c r="A154" s="457" t="s">
        <v>340</v>
      </c>
      <c r="B154" s="420"/>
      <c r="C154" s="420"/>
      <c r="D154" s="420"/>
      <c r="E154" s="420"/>
      <c r="F154" s="420">
        <v>0</v>
      </c>
      <c r="G154" s="420"/>
      <c r="H154" s="420">
        <v>0</v>
      </c>
      <c r="I154" s="420">
        <v>0</v>
      </c>
      <c r="J154" s="421"/>
      <c r="K154" s="422"/>
      <c r="L154" s="420">
        <v>0</v>
      </c>
      <c r="M154" s="420">
        <v>0</v>
      </c>
      <c r="N154" s="420">
        <v>0</v>
      </c>
      <c r="O154" s="420">
        <v>0</v>
      </c>
      <c r="P154" s="420">
        <v>0</v>
      </c>
      <c r="Q154" s="420">
        <v>0</v>
      </c>
      <c r="R154" s="420">
        <v>0</v>
      </c>
      <c r="S154" s="420">
        <v>0</v>
      </c>
      <c r="T154" s="420"/>
      <c r="U154" s="420"/>
      <c r="V154" s="420">
        <f>_xlfn.IFNA(VLOOKUP(A154,[3]進出口值表查詢結果!$C$11:$F$68,4,0),-[4]整車!$B$22)</f>
        <v>0</v>
      </c>
      <c r="W154" s="420">
        <f>_xlfn.IFNA(VLOOKUP(A154,[3]進出口值表查詢結果!$C$11:$F$68,3,0),-[4]整車!$B$22)</f>
        <v>0</v>
      </c>
      <c r="X154" s="420">
        <f>_xlfn.IFNA(VLOOKUP(A154,[5]進出口值表查詢結果!$C$11:$F$68,4,0),-[4]整車!$B$22)</f>
        <v>0</v>
      </c>
      <c r="Y154" s="420">
        <f>_xlfn.IFNA(VLOOKUP(A154,[5]進出口值表查詢結果!$C$11:$F$68,3,0),-[4]整車!$B$22)</f>
        <v>0</v>
      </c>
      <c r="Z154" s="414">
        <f t="shared" si="26"/>
        <v>0</v>
      </c>
      <c r="AA154" s="414">
        <f t="shared" si="27"/>
        <v>0</v>
      </c>
    </row>
    <row r="155" spans="1:27">
      <c r="A155" s="457" t="s">
        <v>341</v>
      </c>
      <c r="B155" s="420"/>
      <c r="C155" s="420"/>
      <c r="D155" s="420"/>
      <c r="E155" s="420"/>
      <c r="F155" s="420">
        <v>0</v>
      </c>
      <c r="G155" s="420"/>
      <c r="H155" s="420">
        <v>0</v>
      </c>
      <c r="I155" s="420">
        <v>0</v>
      </c>
      <c r="J155" s="421"/>
      <c r="K155" s="422"/>
      <c r="L155" s="420">
        <v>0</v>
      </c>
      <c r="M155" s="420">
        <v>0</v>
      </c>
      <c r="N155" s="420">
        <v>0</v>
      </c>
      <c r="O155" s="420">
        <v>0</v>
      </c>
      <c r="P155" s="420">
        <v>0</v>
      </c>
      <c r="Q155" s="420">
        <v>0</v>
      </c>
      <c r="R155" s="420">
        <v>0</v>
      </c>
      <c r="S155" s="420">
        <v>0</v>
      </c>
      <c r="T155" s="420"/>
      <c r="U155" s="420"/>
      <c r="V155" s="420">
        <f>_xlfn.IFNA(VLOOKUP(A155,[3]進出口值表查詢結果!$C$11:$F$68,4,0),-[4]整車!$B$22)</f>
        <v>0</v>
      </c>
      <c r="W155" s="420">
        <f>_xlfn.IFNA(VLOOKUP(A155,[3]進出口值表查詢結果!$C$11:$F$68,3,0),-[4]整車!$B$22)</f>
        <v>0</v>
      </c>
      <c r="X155" s="420">
        <f>_xlfn.IFNA(VLOOKUP(A155,[5]進出口值表查詢結果!$C$11:$F$68,4,0),-[4]整車!$B$22)</f>
        <v>0</v>
      </c>
      <c r="Y155" s="420">
        <f>_xlfn.IFNA(VLOOKUP(A155,[5]進出口值表查詢結果!$C$11:$F$68,3,0),-[4]整車!$B$22)</f>
        <v>0</v>
      </c>
      <c r="Z155" s="414">
        <f t="shared" si="26"/>
        <v>0</v>
      </c>
      <c r="AA155" s="414">
        <f t="shared" si="27"/>
        <v>0</v>
      </c>
    </row>
    <row r="156" spans="1:27">
      <c r="A156" s="457" t="s">
        <v>200</v>
      </c>
      <c r="B156" s="420"/>
      <c r="C156" s="420"/>
      <c r="D156" s="420"/>
      <c r="E156" s="420"/>
      <c r="F156" s="420">
        <v>0</v>
      </c>
      <c r="G156" s="420"/>
      <c r="H156" s="420">
        <v>0</v>
      </c>
      <c r="I156" s="420">
        <v>0</v>
      </c>
      <c r="J156" s="421"/>
      <c r="K156" s="422"/>
      <c r="L156" s="420">
        <v>0</v>
      </c>
      <c r="M156" s="420">
        <v>0</v>
      </c>
      <c r="N156" s="420">
        <v>0</v>
      </c>
      <c r="O156" s="420">
        <v>0</v>
      </c>
      <c r="P156" s="420">
        <v>0</v>
      </c>
      <c r="Q156" s="420">
        <v>0</v>
      </c>
      <c r="R156" s="420">
        <v>0</v>
      </c>
      <c r="S156" s="420">
        <v>0</v>
      </c>
      <c r="T156" s="420"/>
      <c r="U156" s="420"/>
      <c r="V156" s="420">
        <f>_xlfn.IFNA(VLOOKUP(A156,[3]進出口值表查詢結果!$C$11:$F$68,4,0),-[4]整車!$B$22)</f>
        <v>0</v>
      </c>
      <c r="W156" s="420">
        <f>_xlfn.IFNA(VLOOKUP(A156,[3]進出口值表查詢結果!$C$11:$F$68,3,0),-[4]整車!$B$22)</f>
        <v>0</v>
      </c>
      <c r="X156" s="420">
        <f>_xlfn.IFNA(VLOOKUP(A156,[5]進出口值表查詢結果!$C$11:$F$68,4,0),-[4]整車!$B$22)</f>
        <v>0</v>
      </c>
      <c r="Y156" s="420">
        <f>_xlfn.IFNA(VLOOKUP(A156,[5]進出口值表查詢結果!$C$11:$F$68,3,0),-[4]整車!$B$22)</f>
        <v>0</v>
      </c>
      <c r="Z156" s="414">
        <f t="shared" si="26"/>
        <v>0</v>
      </c>
      <c r="AA156" s="414">
        <f t="shared" si="27"/>
        <v>0</v>
      </c>
    </row>
    <row r="157" spans="1:27">
      <c r="A157" s="457" t="s">
        <v>342</v>
      </c>
      <c r="B157" s="420"/>
      <c r="C157" s="420"/>
      <c r="D157" s="420"/>
      <c r="E157" s="420"/>
      <c r="F157" s="420">
        <v>0</v>
      </c>
      <c r="G157" s="420"/>
      <c r="H157" s="420">
        <v>0</v>
      </c>
      <c r="I157" s="420">
        <v>0</v>
      </c>
      <c r="J157" s="421"/>
      <c r="K157" s="422"/>
      <c r="L157" s="420">
        <v>0</v>
      </c>
      <c r="M157" s="420">
        <v>0</v>
      </c>
      <c r="N157" s="420">
        <v>0</v>
      </c>
      <c r="O157" s="420">
        <v>0</v>
      </c>
      <c r="P157" s="420">
        <v>113</v>
      </c>
      <c r="Q157" s="420">
        <v>610</v>
      </c>
      <c r="R157" s="420">
        <v>25</v>
      </c>
      <c r="S157" s="420">
        <v>408</v>
      </c>
      <c r="T157" s="420">
        <v>56</v>
      </c>
      <c r="U157" s="420">
        <v>448</v>
      </c>
      <c r="V157" s="420">
        <f>_xlfn.IFNA(VLOOKUP(A157,[3]進出口值表查詢結果!$C$11:$F$68,4,0),-[4]整車!$B$22)</f>
        <v>0</v>
      </c>
      <c r="W157" s="420">
        <f>_xlfn.IFNA(VLOOKUP(A157,[3]進出口值表查詢結果!$C$11:$F$68,3,0),-[4]整車!$B$22)</f>
        <v>0</v>
      </c>
      <c r="X157" s="420">
        <f>_xlfn.IFNA(VLOOKUP(A157,[5]進出口值表查詢結果!$C$11:$F$75,4,0),-[4]整車!$B$22)</f>
        <v>6</v>
      </c>
      <c r="Y157" s="420">
        <f>_xlfn.IFNA(VLOOKUP(A157,[5]進出口值表查詢結果!$C$11:$F$75,3,0),-[4]整車!$B$22)</f>
        <v>175</v>
      </c>
      <c r="Z157" s="414">
        <f t="shared" si="26"/>
        <v>200</v>
      </c>
      <c r="AA157" s="414">
        <f t="shared" si="27"/>
        <v>1641</v>
      </c>
    </row>
    <row r="158" spans="1:27">
      <c r="A158" s="457" t="s">
        <v>343</v>
      </c>
      <c r="B158" s="420"/>
      <c r="C158" s="420"/>
      <c r="D158" s="420"/>
      <c r="E158" s="420"/>
      <c r="F158" s="420">
        <v>0</v>
      </c>
      <c r="G158" s="420"/>
      <c r="H158" s="420">
        <v>0</v>
      </c>
      <c r="I158" s="420">
        <v>0</v>
      </c>
      <c r="J158" s="421"/>
      <c r="K158" s="422"/>
      <c r="L158" s="420">
        <v>0</v>
      </c>
      <c r="M158" s="420">
        <v>0</v>
      </c>
      <c r="N158" s="420">
        <v>0</v>
      </c>
      <c r="O158" s="420">
        <v>0</v>
      </c>
      <c r="P158" s="420">
        <v>0</v>
      </c>
      <c r="Q158" s="420">
        <v>0</v>
      </c>
      <c r="R158" s="420">
        <v>0</v>
      </c>
      <c r="S158" s="420">
        <v>0</v>
      </c>
      <c r="T158" s="420"/>
      <c r="U158" s="420"/>
      <c r="V158" s="420">
        <f>_xlfn.IFNA(VLOOKUP(A158,[3]進出口值表查詢結果!$C$11:$F$68,4,0),-[4]整車!$B$22)</f>
        <v>0</v>
      </c>
      <c r="W158" s="420">
        <f>_xlfn.IFNA(VLOOKUP(A158,[3]進出口值表查詢結果!$C$11:$F$68,3,0),-[4]整車!$B$22)</f>
        <v>0</v>
      </c>
      <c r="X158" s="420">
        <f>_xlfn.IFNA(VLOOKUP(A158,[5]進出口值表查詢結果!$C$11:$F$75,4,0),-[4]整車!$B$22)</f>
        <v>0</v>
      </c>
      <c r="Y158" s="420">
        <f>_xlfn.IFNA(VLOOKUP(A158,[5]進出口值表查詢結果!$C$11:$F$75,3,0),-[4]整車!$B$22)</f>
        <v>0</v>
      </c>
      <c r="Z158" s="414">
        <f t="shared" si="26"/>
        <v>0</v>
      </c>
      <c r="AA158" s="414">
        <f t="shared" si="27"/>
        <v>0</v>
      </c>
    </row>
    <row r="159" spans="1:27">
      <c r="A159" s="457" t="s">
        <v>344</v>
      </c>
      <c r="B159" s="420"/>
      <c r="C159" s="420"/>
      <c r="D159" s="420"/>
      <c r="E159" s="420"/>
      <c r="F159" s="420">
        <v>0</v>
      </c>
      <c r="G159" s="420"/>
      <c r="H159" s="420">
        <v>0</v>
      </c>
      <c r="I159" s="420">
        <v>0</v>
      </c>
      <c r="J159" s="421"/>
      <c r="K159" s="422"/>
      <c r="L159" s="420">
        <v>0</v>
      </c>
      <c r="M159" s="420">
        <v>0</v>
      </c>
      <c r="N159" s="420">
        <v>0</v>
      </c>
      <c r="O159" s="420">
        <v>0</v>
      </c>
      <c r="P159" s="420">
        <v>0</v>
      </c>
      <c r="Q159" s="420">
        <v>0</v>
      </c>
      <c r="R159" s="420">
        <v>0</v>
      </c>
      <c r="S159" s="420">
        <v>0</v>
      </c>
      <c r="T159" s="420"/>
      <c r="U159" s="420"/>
      <c r="V159" s="420">
        <f>_xlfn.IFNA(VLOOKUP(A159,[3]進出口值表查詢結果!$C$11:$F$68,4,0),-[4]整車!$B$22)</f>
        <v>0</v>
      </c>
      <c r="W159" s="420">
        <f>_xlfn.IFNA(VLOOKUP(A159,[3]進出口值表查詢結果!$C$11:$F$68,3,0),-[4]整車!$B$22)</f>
        <v>0</v>
      </c>
      <c r="X159" s="420">
        <f>_xlfn.IFNA(VLOOKUP(A159,[5]進出口值表查詢結果!$C$11:$F$75,4,0),-[4]整車!$B$22)</f>
        <v>0</v>
      </c>
      <c r="Y159" s="420">
        <f>_xlfn.IFNA(VLOOKUP(A159,[5]進出口值表查詢結果!$C$11:$F$75,3,0),-[4]整車!$B$22)</f>
        <v>0</v>
      </c>
      <c r="Z159" s="414">
        <f t="shared" si="26"/>
        <v>0</v>
      </c>
      <c r="AA159" s="414">
        <f t="shared" si="27"/>
        <v>0</v>
      </c>
    </row>
    <row r="160" spans="1:27">
      <c r="A160" s="457" t="s">
        <v>345</v>
      </c>
      <c r="B160" s="420"/>
      <c r="C160" s="420"/>
      <c r="D160" s="420"/>
      <c r="E160" s="420"/>
      <c r="F160" s="420">
        <v>4</v>
      </c>
      <c r="G160" s="420">
        <v>3551</v>
      </c>
      <c r="H160" s="420">
        <v>0</v>
      </c>
      <c r="I160" s="420">
        <v>0</v>
      </c>
      <c r="J160" s="421"/>
      <c r="K160" s="422"/>
      <c r="L160" s="420">
        <v>0</v>
      </c>
      <c r="M160" s="420">
        <v>0</v>
      </c>
      <c r="N160" s="420">
        <v>0</v>
      </c>
      <c r="O160" s="420">
        <v>0</v>
      </c>
      <c r="P160" s="420">
        <v>155</v>
      </c>
      <c r="Q160" s="420">
        <v>20061</v>
      </c>
      <c r="R160" s="420">
        <v>0</v>
      </c>
      <c r="S160" s="420">
        <v>0</v>
      </c>
      <c r="T160" s="420"/>
      <c r="U160" s="420"/>
      <c r="V160" s="420">
        <f>_xlfn.IFNA(VLOOKUP(A160,[3]進出口值表查詢結果!$C$11:$F$68,4,0),-[4]整車!$B$22)</f>
        <v>0</v>
      </c>
      <c r="W160" s="420">
        <f>_xlfn.IFNA(VLOOKUP(A160,[3]進出口值表查詢結果!$C$11:$F$68,3,0),-[4]整車!$B$22)</f>
        <v>0</v>
      </c>
      <c r="X160" s="420">
        <f>_xlfn.IFNA(VLOOKUP(A160,[5]進出口值表查詢結果!$C$11:$F$75,4,0),-[4]整車!$B$22)</f>
        <v>0</v>
      </c>
      <c r="Y160" s="420">
        <f>_xlfn.IFNA(VLOOKUP(A160,[5]進出口值表查詢結果!$C$11:$F$75,3,0),-[4]整車!$B$22)</f>
        <v>0</v>
      </c>
      <c r="Z160" s="414">
        <f t="shared" si="26"/>
        <v>159</v>
      </c>
      <c r="AA160" s="414">
        <f t="shared" si="27"/>
        <v>23612</v>
      </c>
    </row>
    <row r="161" spans="1:27">
      <c r="A161" s="457" t="s">
        <v>346</v>
      </c>
      <c r="B161" s="420">
        <v>17</v>
      </c>
      <c r="C161" s="420">
        <v>28291</v>
      </c>
      <c r="D161" s="420"/>
      <c r="E161" s="420"/>
      <c r="F161" s="420">
        <v>0</v>
      </c>
      <c r="G161" s="420"/>
      <c r="H161" s="420">
        <v>35</v>
      </c>
      <c r="I161" s="420">
        <v>30408</v>
      </c>
      <c r="J161" s="421"/>
      <c r="K161" s="422"/>
      <c r="L161" s="420">
        <v>39</v>
      </c>
      <c r="M161" s="420">
        <v>54290</v>
      </c>
      <c r="N161" s="420">
        <v>0</v>
      </c>
      <c r="O161" s="420">
        <v>0</v>
      </c>
      <c r="P161" s="420">
        <v>36</v>
      </c>
      <c r="Q161" s="420">
        <v>38326</v>
      </c>
      <c r="R161" s="420">
        <v>0</v>
      </c>
      <c r="S161" s="420">
        <v>0</v>
      </c>
      <c r="T161" s="420">
        <v>41</v>
      </c>
      <c r="U161" s="420">
        <v>29673</v>
      </c>
      <c r="V161" s="420">
        <f>_xlfn.IFNA(VLOOKUP(A161,[3]進出口值表查詢結果!$C$11:$F$68,4,0),-[4]整車!$B$22)</f>
        <v>0</v>
      </c>
      <c r="W161" s="420">
        <f>_xlfn.IFNA(VLOOKUP(A161,[3]進出口值表查詢結果!$C$11:$F$68,3,0),-[4]整車!$B$22)</f>
        <v>0</v>
      </c>
      <c r="X161" s="420">
        <f>_xlfn.IFNA(VLOOKUP(A161,[5]進出口值表查詢結果!$C$11:$F$75,4,0),-[4]整車!$B$22)</f>
        <v>50</v>
      </c>
      <c r="Y161" s="420">
        <f>_xlfn.IFNA(VLOOKUP(A161,[5]進出口值表查詢結果!$C$11:$F$75,3,0),-[4]整車!$B$22)</f>
        <v>63646</v>
      </c>
      <c r="Z161" s="414">
        <f t="shared" si="26"/>
        <v>218</v>
      </c>
      <c r="AA161" s="414">
        <f t="shared" si="27"/>
        <v>244634</v>
      </c>
    </row>
    <row r="162" spans="1:27">
      <c r="A162" s="457" t="s">
        <v>347</v>
      </c>
      <c r="B162" s="420"/>
      <c r="C162" s="420"/>
      <c r="D162" s="420"/>
      <c r="E162" s="420"/>
      <c r="F162" s="420">
        <v>0</v>
      </c>
      <c r="G162" s="420"/>
      <c r="H162" s="420">
        <v>0</v>
      </c>
      <c r="I162" s="420">
        <v>0</v>
      </c>
      <c r="J162" s="421">
        <v>5</v>
      </c>
      <c r="K162" s="422">
        <v>802</v>
      </c>
      <c r="L162" s="420">
        <v>0</v>
      </c>
      <c r="M162" s="420">
        <v>0</v>
      </c>
      <c r="N162" s="420">
        <v>0</v>
      </c>
      <c r="O162" s="420">
        <v>0</v>
      </c>
      <c r="P162" s="420">
        <v>0</v>
      </c>
      <c r="Q162" s="420">
        <v>0</v>
      </c>
      <c r="R162" s="420">
        <v>0</v>
      </c>
      <c r="S162" s="420">
        <v>0</v>
      </c>
      <c r="T162" s="420"/>
      <c r="U162" s="420"/>
      <c r="V162" s="420">
        <f>_xlfn.IFNA(VLOOKUP(A162,[3]進出口值表查詢結果!$C$11:$F$68,4,0),-[4]整車!$B$22)</f>
        <v>0</v>
      </c>
      <c r="W162" s="420">
        <f>_xlfn.IFNA(VLOOKUP(A162,[3]進出口值表查詢結果!$C$11:$F$68,3,0),-[4]整車!$B$22)</f>
        <v>0</v>
      </c>
      <c r="X162" s="420">
        <f>_xlfn.IFNA(VLOOKUP(A162,[5]進出口值表查詢結果!$C$11:$F$75,4,0),-[4]整車!$B$22)</f>
        <v>0</v>
      </c>
      <c r="Y162" s="420">
        <f>_xlfn.IFNA(VLOOKUP(A162,[5]進出口值表查詢結果!$C$11:$F$75,3,0),-[4]整車!$B$22)</f>
        <v>0</v>
      </c>
      <c r="Z162" s="414">
        <f t="shared" si="26"/>
        <v>5</v>
      </c>
      <c r="AA162" s="414">
        <f t="shared" si="27"/>
        <v>802</v>
      </c>
    </row>
    <row r="163" spans="1:27">
      <c r="A163" s="457" t="s">
        <v>348</v>
      </c>
      <c r="B163" s="420"/>
      <c r="C163" s="420"/>
      <c r="D163" s="420"/>
      <c r="E163" s="420"/>
      <c r="F163" s="420">
        <v>0</v>
      </c>
      <c r="G163" s="420"/>
      <c r="H163" s="420">
        <v>0</v>
      </c>
      <c r="I163" s="420">
        <v>0</v>
      </c>
      <c r="J163" s="421">
        <v>120</v>
      </c>
      <c r="K163" s="422">
        <v>401</v>
      </c>
      <c r="L163" s="420">
        <v>82</v>
      </c>
      <c r="M163" s="420">
        <v>6803</v>
      </c>
      <c r="N163" s="420">
        <v>0</v>
      </c>
      <c r="O163" s="420">
        <v>0</v>
      </c>
      <c r="P163" s="420">
        <v>512</v>
      </c>
      <c r="Q163" s="420">
        <v>5219</v>
      </c>
      <c r="R163" s="420">
        <v>0</v>
      </c>
      <c r="S163" s="420">
        <v>0</v>
      </c>
      <c r="T163" s="420"/>
      <c r="U163" s="420"/>
      <c r="V163" s="420">
        <f>_xlfn.IFNA(VLOOKUP(A163,[3]進出口值表查詢結果!$C$11:$F$68,4,0),-[4]整車!$B$22)</f>
        <v>0</v>
      </c>
      <c r="W163" s="420">
        <f>_xlfn.IFNA(VLOOKUP(A163,[3]進出口值表查詢結果!$C$11:$F$68,3,0),-[4]整車!$B$22)</f>
        <v>0</v>
      </c>
      <c r="X163" s="420">
        <f>_xlfn.IFNA(VLOOKUP(A163,[5]進出口值表查詢結果!$C$11:$F$75,4,0),-[4]整車!$B$22)</f>
        <v>0</v>
      </c>
      <c r="Y163" s="420">
        <f>_xlfn.IFNA(VLOOKUP(A163,[5]進出口值表查詢結果!$C$11:$F$75,3,0),-[4]整車!$B$22)</f>
        <v>0</v>
      </c>
      <c r="Z163" s="414">
        <f t="shared" si="26"/>
        <v>714</v>
      </c>
      <c r="AA163" s="414">
        <f t="shared" si="27"/>
        <v>12423</v>
      </c>
    </row>
    <row r="164" spans="1:27">
      <c r="A164" s="457" t="s">
        <v>349</v>
      </c>
      <c r="B164" s="420"/>
      <c r="C164" s="420"/>
      <c r="D164" s="420"/>
      <c r="E164" s="420"/>
      <c r="F164" s="420">
        <v>0</v>
      </c>
      <c r="G164" s="420"/>
      <c r="H164" s="420">
        <v>0</v>
      </c>
      <c r="I164" s="420">
        <v>0</v>
      </c>
      <c r="J164" s="421"/>
      <c r="K164" s="422"/>
      <c r="L164" s="420">
        <v>0</v>
      </c>
      <c r="M164" s="420">
        <v>0</v>
      </c>
      <c r="N164" s="420">
        <v>0</v>
      </c>
      <c r="O164" s="420">
        <v>0</v>
      </c>
      <c r="P164" s="420">
        <v>0</v>
      </c>
      <c r="Q164" s="420">
        <v>0</v>
      </c>
      <c r="R164" s="420">
        <v>0</v>
      </c>
      <c r="S164" s="420">
        <v>0</v>
      </c>
      <c r="T164" s="420"/>
      <c r="U164" s="420"/>
      <c r="V164" s="420">
        <f>_xlfn.IFNA(VLOOKUP(A164,[3]進出口值表查詢結果!$C$11:$F$68,4,0),-[4]整車!$B$22)</f>
        <v>0</v>
      </c>
      <c r="W164" s="420">
        <f>_xlfn.IFNA(VLOOKUP(A164,[3]進出口值表查詢結果!$C$11:$F$68,3,0),-[4]整車!$B$22)</f>
        <v>0</v>
      </c>
      <c r="X164" s="420">
        <f>_xlfn.IFNA(VLOOKUP(A164,[5]進出口值表查詢結果!$C$11:$F$75,4,0),-[4]整車!$B$22)</f>
        <v>0</v>
      </c>
      <c r="Y164" s="420">
        <f>_xlfn.IFNA(VLOOKUP(A164,[5]進出口值表查詢結果!$C$11:$F$75,3,0),-[4]整車!$B$22)</f>
        <v>0</v>
      </c>
      <c r="Z164" s="414">
        <f t="shared" si="26"/>
        <v>0</v>
      </c>
      <c r="AA164" s="414">
        <f t="shared" si="27"/>
        <v>0</v>
      </c>
    </row>
    <row r="165" spans="1:27">
      <c r="A165" s="457" t="s">
        <v>350</v>
      </c>
      <c r="B165" s="420"/>
      <c r="C165" s="420"/>
      <c r="D165" s="420"/>
      <c r="E165" s="420"/>
      <c r="F165" s="420">
        <v>0</v>
      </c>
      <c r="G165" s="420"/>
      <c r="H165" s="420">
        <v>0</v>
      </c>
      <c r="I165" s="420">
        <v>0</v>
      </c>
      <c r="J165" s="421"/>
      <c r="K165" s="422"/>
      <c r="L165" s="420">
        <v>0</v>
      </c>
      <c r="M165" s="420">
        <v>0</v>
      </c>
      <c r="N165" s="420">
        <v>0</v>
      </c>
      <c r="O165" s="420">
        <v>0</v>
      </c>
      <c r="P165" s="420">
        <v>0</v>
      </c>
      <c r="Q165" s="420">
        <v>0</v>
      </c>
      <c r="R165" s="420">
        <v>0</v>
      </c>
      <c r="S165" s="420">
        <v>0</v>
      </c>
      <c r="T165" s="420"/>
      <c r="U165" s="420"/>
      <c r="V165" s="420">
        <f>_xlfn.IFNA(VLOOKUP(A165,[3]進出口值表查詢結果!$C$11:$F$68,4,0),-[4]整車!$B$22)</f>
        <v>0</v>
      </c>
      <c r="W165" s="420">
        <f>_xlfn.IFNA(VLOOKUP(A165,[3]進出口值表查詢結果!$C$11:$F$68,3,0),-[4]整車!$B$22)</f>
        <v>0</v>
      </c>
      <c r="X165" s="420">
        <f>_xlfn.IFNA(VLOOKUP(A165,[5]進出口值表查詢結果!$C$11:$F$75,4,0),-[4]整車!$B$22)</f>
        <v>0</v>
      </c>
      <c r="Y165" s="420">
        <f>_xlfn.IFNA(VLOOKUP(A165,[5]進出口值表查詢結果!$C$11:$F$75,3,0),-[4]整車!$B$22)</f>
        <v>0</v>
      </c>
      <c r="Z165" s="414">
        <f t="shared" si="26"/>
        <v>0</v>
      </c>
      <c r="AA165" s="414">
        <f t="shared" si="27"/>
        <v>0</v>
      </c>
    </row>
    <row r="166" spans="1:27">
      <c r="A166" s="457" t="s">
        <v>351</v>
      </c>
      <c r="B166" s="420"/>
      <c r="C166" s="420"/>
      <c r="D166" s="420"/>
      <c r="E166" s="420"/>
      <c r="F166" s="420">
        <v>0</v>
      </c>
      <c r="G166" s="420"/>
      <c r="H166" s="420">
        <v>0</v>
      </c>
      <c r="I166" s="420">
        <v>0</v>
      </c>
      <c r="J166" s="421"/>
      <c r="K166" s="422"/>
      <c r="L166" s="420">
        <v>0</v>
      </c>
      <c r="M166" s="420">
        <v>0</v>
      </c>
      <c r="N166" s="420">
        <v>0</v>
      </c>
      <c r="O166" s="420">
        <v>0</v>
      </c>
      <c r="P166" s="420">
        <v>0</v>
      </c>
      <c r="Q166" s="420">
        <v>0</v>
      </c>
      <c r="R166" s="420">
        <v>0</v>
      </c>
      <c r="S166" s="420">
        <v>0</v>
      </c>
      <c r="T166" s="420"/>
      <c r="U166" s="420"/>
      <c r="V166" s="420">
        <f>_xlfn.IFNA(VLOOKUP(A166,[3]進出口值表查詢結果!$C$11:$F$68,4,0),-[4]整車!$B$22)</f>
        <v>0</v>
      </c>
      <c r="W166" s="420">
        <f>_xlfn.IFNA(VLOOKUP(A166,[3]進出口值表查詢結果!$C$11:$F$68,3,0),-[4]整車!$B$22)</f>
        <v>0</v>
      </c>
      <c r="X166" s="420">
        <f>_xlfn.IFNA(VLOOKUP(A166,[5]進出口值表查詢結果!$C$11:$F$75,4,0),-[4]整車!$B$22)</f>
        <v>0</v>
      </c>
      <c r="Y166" s="420">
        <f>_xlfn.IFNA(VLOOKUP(A166,[5]進出口值表查詢結果!$C$11:$F$75,3,0),-[4]整車!$B$22)</f>
        <v>0</v>
      </c>
      <c r="Z166" s="414">
        <f t="shared" si="26"/>
        <v>0</v>
      </c>
      <c r="AA166" s="414">
        <f t="shared" si="27"/>
        <v>0</v>
      </c>
    </row>
    <row r="167" spans="1:27">
      <c r="A167" s="457" t="s">
        <v>352</v>
      </c>
      <c r="B167" s="420"/>
      <c r="C167" s="420"/>
      <c r="D167" s="420"/>
      <c r="E167" s="420"/>
      <c r="F167" s="420">
        <v>0</v>
      </c>
      <c r="G167" s="420"/>
      <c r="H167" s="420">
        <v>0</v>
      </c>
      <c r="I167" s="420">
        <v>0</v>
      </c>
      <c r="J167" s="421"/>
      <c r="K167" s="422"/>
      <c r="L167" s="420">
        <v>0</v>
      </c>
      <c r="M167" s="420">
        <v>0</v>
      </c>
      <c r="N167" s="420">
        <v>0</v>
      </c>
      <c r="O167" s="420">
        <v>0</v>
      </c>
      <c r="P167" s="420">
        <v>0</v>
      </c>
      <c r="Q167" s="420">
        <v>0</v>
      </c>
      <c r="R167" s="420">
        <v>0</v>
      </c>
      <c r="S167" s="420">
        <v>0</v>
      </c>
      <c r="T167" s="420"/>
      <c r="U167" s="420"/>
      <c r="V167" s="420">
        <f>_xlfn.IFNA(VLOOKUP(A167,[3]進出口值表查詢結果!$C$11:$F$68,4,0),-[4]整車!$B$22)</f>
        <v>0</v>
      </c>
      <c r="W167" s="420">
        <f>_xlfn.IFNA(VLOOKUP(A167,[3]進出口值表查詢結果!$C$11:$F$68,3,0),-[4]整車!$B$22)</f>
        <v>0</v>
      </c>
      <c r="X167" s="420">
        <f>_xlfn.IFNA(VLOOKUP(A167,[5]進出口值表查詢結果!$C$11:$F$75,4,0),-[4]整車!$B$22)</f>
        <v>0</v>
      </c>
      <c r="Y167" s="420">
        <f>_xlfn.IFNA(VLOOKUP(A167,[5]進出口值表查詢結果!$C$11:$F$75,3,0),-[4]整車!$B$22)</f>
        <v>0</v>
      </c>
      <c r="Z167" s="414">
        <f t="shared" si="26"/>
        <v>0</v>
      </c>
      <c r="AA167" s="414">
        <f t="shared" si="27"/>
        <v>0</v>
      </c>
    </row>
    <row r="168" spans="1:27">
      <c r="A168" s="457" t="s">
        <v>353</v>
      </c>
      <c r="B168" s="420">
        <v>30</v>
      </c>
      <c r="C168" s="420">
        <v>67</v>
      </c>
      <c r="D168" s="420">
        <v>30</v>
      </c>
      <c r="E168" s="420">
        <v>167</v>
      </c>
      <c r="F168" s="420">
        <v>0</v>
      </c>
      <c r="G168" s="420"/>
      <c r="H168" s="420">
        <v>0</v>
      </c>
      <c r="I168" s="420">
        <v>0</v>
      </c>
      <c r="J168" s="421"/>
      <c r="K168" s="422"/>
      <c r="L168" s="420">
        <v>0</v>
      </c>
      <c r="M168" s="420">
        <v>0</v>
      </c>
      <c r="N168" s="420">
        <v>0</v>
      </c>
      <c r="O168" s="420">
        <v>0</v>
      </c>
      <c r="P168" s="420">
        <v>0</v>
      </c>
      <c r="Q168" s="420">
        <v>0</v>
      </c>
      <c r="R168" s="420">
        <v>0</v>
      </c>
      <c r="S168" s="420">
        <v>0</v>
      </c>
      <c r="T168" s="420">
        <v>10</v>
      </c>
      <c r="U168" s="420">
        <v>103</v>
      </c>
      <c r="V168" s="420">
        <f>_xlfn.IFNA(VLOOKUP(A168,[3]進出口值表查詢結果!$C$11:$F$68,4,0),-[4]整車!$B$22)</f>
        <v>0</v>
      </c>
      <c r="W168" s="420">
        <f>_xlfn.IFNA(VLOOKUP(A168,[3]進出口值表查詢結果!$C$11:$F$68,3,0),-[4]整車!$B$22)</f>
        <v>0</v>
      </c>
      <c r="X168" s="420">
        <f>_xlfn.IFNA(VLOOKUP(A168,[5]進出口值表查詢結果!$C$11:$F$75,4,0),-[4]整車!$B$22)</f>
        <v>0</v>
      </c>
      <c r="Y168" s="420">
        <f>_xlfn.IFNA(VLOOKUP(A168,[5]進出口值表查詢結果!$C$11:$F$75,3,0),-[4]整車!$B$22)</f>
        <v>0</v>
      </c>
      <c r="Z168" s="414">
        <f t="shared" ref="Z168:Z185" si="29">SUM(B168,D168,F168,H168,J168,L168,N168,P168,R168,T168,V168,X168)</f>
        <v>70</v>
      </c>
      <c r="AA168" s="414">
        <f t="shared" ref="AA168:AA185" si="30">SUM(C168,E168,G168,I168,K168,M168,O168,Q168,S168,U168,W168,Y168)</f>
        <v>337</v>
      </c>
    </row>
    <row r="169" spans="1:27">
      <c r="A169" s="457" t="s">
        <v>405</v>
      </c>
      <c r="B169" s="420"/>
      <c r="C169" s="420"/>
      <c r="D169" s="420"/>
      <c r="E169" s="420"/>
      <c r="F169" s="420">
        <v>0</v>
      </c>
      <c r="G169" s="420"/>
      <c r="H169" s="420">
        <v>0</v>
      </c>
      <c r="I169" s="420">
        <v>0</v>
      </c>
      <c r="J169" s="421"/>
      <c r="K169" s="422"/>
      <c r="L169" s="420">
        <v>0</v>
      </c>
      <c r="M169" s="420">
        <v>0</v>
      </c>
      <c r="N169" s="420">
        <v>0</v>
      </c>
      <c r="O169" s="420">
        <v>0</v>
      </c>
      <c r="P169" s="420">
        <v>0</v>
      </c>
      <c r="Q169" s="420">
        <v>0</v>
      </c>
      <c r="R169" s="420">
        <v>0</v>
      </c>
      <c r="S169" s="420">
        <v>0</v>
      </c>
      <c r="T169" s="420"/>
      <c r="U169" s="420"/>
      <c r="V169" s="420">
        <f>_xlfn.IFNA(VLOOKUP(A169,[3]進出口值表查詢結果!$C$11:$F$68,4,0),-[4]整車!$B$22)</f>
        <v>0</v>
      </c>
      <c r="W169" s="420">
        <f>_xlfn.IFNA(VLOOKUP(A169,[3]進出口值表查詢結果!$C$11:$F$68,3,0),-[4]整車!$B$22)</f>
        <v>0</v>
      </c>
      <c r="X169" s="420">
        <f>_xlfn.IFNA(VLOOKUP(A169,[5]進出口值表查詢結果!$C$11:$F$75,4,0),-[4]整車!$B$22)</f>
        <v>52</v>
      </c>
      <c r="Y169" s="420">
        <f>_xlfn.IFNA(VLOOKUP(A169,[5]進出口值表查詢結果!$C$11:$F$75,3,0),-[4]整車!$B$22)</f>
        <v>175</v>
      </c>
      <c r="Z169" s="414">
        <f t="shared" si="29"/>
        <v>52</v>
      </c>
      <c r="AA169" s="414">
        <f t="shared" si="30"/>
        <v>175</v>
      </c>
    </row>
    <row r="170" spans="1:27">
      <c r="A170" s="457" t="s">
        <v>354</v>
      </c>
      <c r="B170" s="420">
        <v>6</v>
      </c>
      <c r="C170" s="420">
        <v>400</v>
      </c>
      <c r="D170" s="420"/>
      <c r="E170" s="420"/>
      <c r="F170" s="420">
        <v>0</v>
      </c>
      <c r="G170" s="420"/>
      <c r="H170" s="420">
        <v>0</v>
      </c>
      <c r="I170" s="420">
        <v>0</v>
      </c>
      <c r="J170" s="421"/>
      <c r="K170" s="422"/>
      <c r="L170" s="420">
        <v>0</v>
      </c>
      <c r="M170" s="420">
        <v>0</v>
      </c>
      <c r="N170" s="420">
        <v>0</v>
      </c>
      <c r="O170" s="420">
        <v>0</v>
      </c>
      <c r="P170" s="420">
        <v>0</v>
      </c>
      <c r="Q170" s="420">
        <v>0</v>
      </c>
      <c r="R170" s="420">
        <v>0</v>
      </c>
      <c r="S170" s="420">
        <v>0</v>
      </c>
      <c r="T170" s="420"/>
      <c r="U170" s="420"/>
      <c r="V170" s="420">
        <f>_xlfn.IFNA(VLOOKUP(A170,[3]進出口值表查詢結果!$C$11:$F$68,4,0),-[4]整車!$B$22)</f>
        <v>0</v>
      </c>
      <c r="W170" s="420">
        <f>_xlfn.IFNA(VLOOKUP(A170,[3]進出口值表查詢結果!$C$11:$F$68,3,0),-[4]整車!$B$22)</f>
        <v>0</v>
      </c>
      <c r="X170" s="420">
        <f>_xlfn.IFNA(VLOOKUP(A170,[5]進出口值表查詢結果!$C$11:$F$75,4,0),-[4]整車!$B$22)</f>
        <v>0</v>
      </c>
      <c r="Y170" s="420">
        <f>_xlfn.IFNA(VLOOKUP(A170,[5]進出口值表查詢結果!$C$11:$F$75,3,0),-[4]整車!$B$22)</f>
        <v>0</v>
      </c>
      <c r="Z170" s="414">
        <f t="shared" si="29"/>
        <v>6</v>
      </c>
      <c r="AA170" s="414">
        <f t="shared" si="30"/>
        <v>400</v>
      </c>
    </row>
    <row r="171" spans="1:27">
      <c r="A171" s="457" t="s">
        <v>355</v>
      </c>
      <c r="B171" s="420"/>
      <c r="C171" s="420"/>
      <c r="D171" s="420"/>
      <c r="E171" s="420"/>
      <c r="F171" s="420">
        <v>0</v>
      </c>
      <c r="G171" s="420"/>
      <c r="H171" s="420">
        <v>0</v>
      </c>
      <c r="I171" s="420">
        <v>0</v>
      </c>
      <c r="J171" s="421"/>
      <c r="K171" s="422"/>
      <c r="L171" s="420">
        <v>0</v>
      </c>
      <c r="M171" s="420">
        <v>0</v>
      </c>
      <c r="N171" s="420">
        <v>0</v>
      </c>
      <c r="O171" s="420">
        <v>0</v>
      </c>
      <c r="P171" s="420">
        <v>12</v>
      </c>
      <c r="Q171" s="420">
        <v>407</v>
      </c>
      <c r="R171" s="420">
        <v>0</v>
      </c>
      <c r="S171" s="420">
        <v>0</v>
      </c>
      <c r="T171" s="420"/>
      <c r="U171" s="420"/>
      <c r="V171" s="420">
        <f>_xlfn.IFNA(VLOOKUP(A171,[3]進出口值表查詢結果!$C$11:$F$68,4,0),-[4]整車!$B$22)</f>
        <v>0</v>
      </c>
      <c r="W171" s="420">
        <f>_xlfn.IFNA(VLOOKUP(A171,[3]進出口值表查詢結果!$C$11:$F$68,3,0),-[4]整車!$B$22)</f>
        <v>0</v>
      </c>
      <c r="X171" s="420">
        <f>_xlfn.IFNA(VLOOKUP(A171,[5]進出口值表查詢結果!$C$11:$F$75,4,0),-[4]整車!$B$22)</f>
        <v>40</v>
      </c>
      <c r="Y171" s="420">
        <f>_xlfn.IFNA(VLOOKUP(A171,[5]進出口值表查詢結果!$C$11:$F$75,3,0),-[4]整車!$B$22)</f>
        <v>420</v>
      </c>
      <c r="Z171" s="414">
        <f t="shared" si="29"/>
        <v>52</v>
      </c>
      <c r="AA171" s="414">
        <f t="shared" si="30"/>
        <v>827</v>
      </c>
    </row>
    <row r="172" spans="1:27">
      <c r="A172" s="457" t="s">
        <v>356</v>
      </c>
      <c r="B172" s="420"/>
      <c r="C172" s="420"/>
      <c r="D172" s="420"/>
      <c r="E172" s="420"/>
      <c r="F172" s="420">
        <v>0</v>
      </c>
      <c r="G172" s="420"/>
      <c r="H172" s="420">
        <v>0</v>
      </c>
      <c r="I172" s="420">
        <v>0</v>
      </c>
      <c r="J172" s="421"/>
      <c r="K172" s="422"/>
      <c r="L172" s="420">
        <v>0</v>
      </c>
      <c r="M172" s="420">
        <v>0</v>
      </c>
      <c r="N172" s="420">
        <v>0</v>
      </c>
      <c r="O172" s="420">
        <v>0</v>
      </c>
      <c r="P172" s="420">
        <v>0</v>
      </c>
      <c r="Q172" s="420">
        <v>0</v>
      </c>
      <c r="R172" s="420">
        <v>0</v>
      </c>
      <c r="S172" s="420">
        <v>0</v>
      </c>
      <c r="T172" s="420"/>
      <c r="U172" s="420"/>
      <c r="V172" s="420">
        <f>_xlfn.IFNA(VLOOKUP(A172,[3]進出口值表查詢結果!$C$11:$F$68,4,0),-[4]整車!$B$22)</f>
        <v>0</v>
      </c>
      <c r="W172" s="420">
        <f>_xlfn.IFNA(VLOOKUP(A172,[3]進出口值表查詢結果!$C$11:$F$68,3,0),-[4]整車!$B$22)</f>
        <v>0</v>
      </c>
      <c r="X172" s="420">
        <f>_xlfn.IFNA(VLOOKUP(A172,[5]進出口值表查詢結果!$C$11:$F$75,4,0),-[4]整車!$B$22)</f>
        <v>0</v>
      </c>
      <c r="Y172" s="420">
        <f>_xlfn.IFNA(VLOOKUP(A172,[5]進出口值表查詢結果!$C$11:$F$75,3,0),-[4]整車!$B$22)</f>
        <v>0</v>
      </c>
      <c r="Z172" s="414">
        <f t="shared" si="29"/>
        <v>0</v>
      </c>
      <c r="AA172" s="414">
        <f t="shared" si="30"/>
        <v>0</v>
      </c>
    </row>
    <row r="173" spans="1:27">
      <c r="A173" s="457" t="s">
        <v>198</v>
      </c>
      <c r="B173" s="420"/>
      <c r="C173" s="420"/>
      <c r="D173" s="420"/>
      <c r="E173" s="420"/>
      <c r="F173" s="420">
        <v>0</v>
      </c>
      <c r="G173" s="420"/>
      <c r="H173" s="420">
        <v>0</v>
      </c>
      <c r="I173" s="420">
        <v>0</v>
      </c>
      <c r="J173" s="421"/>
      <c r="K173" s="422"/>
      <c r="L173" s="420">
        <v>0</v>
      </c>
      <c r="M173" s="420">
        <v>0</v>
      </c>
      <c r="N173" s="420">
        <v>0</v>
      </c>
      <c r="O173" s="420">
        <v>0</v>
      </c>
      <c r="P173" s="420">
        <v>0</v>
      </c>
      <c r="Q173" s="420">
        <v>0</v>
      </c>
      <c r="R173" s="420">
        <v>0</v>
      </c>
      <c r="S173" s="420">
        <v>0</v>
      </c>
      <c r="T173" s="420"/>
      <c r="U173" s="420"/>
      <c r="V173" s="420">
        <f>_xlfn.IFNA(VLOOKUP(A173,[3]進出口值表查詢結果!$C$11:$F$68,4,0),-[4]整車!$B$22)</f>
        <v>0</v>
      </c>
      <c r="W173" s="420">
        <f>_xlfn.IFNA(VLOOKUP(A173,[3]進出口值表查詢結果!$C$11:$F$68,3,0),-[4]整車!$B$22)</f>
        <v>0</v>
      </c>
      <c r="X173" s="420">
        <f>_xlfn.IFNA(VLOOKUP(A173,[5]進出口值表查詢結果!$C$11:$F$75,4,0),-[4]整車!$B$22)</f>
        <v>0</v>
      </c>
      <c r="Y173" s="420">
        <f>_xlfn.IFNA(VLOOKUP(A173,[5]進出口值表查詢結果!$C$11:$F$75,3,0),-[4]整車!$B$22)</f>
        <v>0</v>
      </c>
      <c r="Z173" s="414">
        <f t="shared" si="29"/>
        <v>0</v>
      </c>
      <c r="AA173" s="414">
        <f t="shared" si="30"/>
        <v>0</v>
      </c>
    </row>
    <row r="174" spans="1:27">
      <c r="A174" s="457" t="s">
        <v>357</v>
      </c>
      <c r="B174" s="420"/>
      <c r="C174" s="420"/>
      <c r="D174" s="420"/>
      <c r="E174" s="420"/>
      <c r="F174" s="420">
        <v>0</v>
      </c>
      <c r="G174" s="420"/>
      <c r="H174" s="420">
        <v>0</v>
      </c>
      <c r="I174" s="420">
        <v>0</v>
      </c>
      <c r="J174" s="421"/>
      <c r="K174" s="422"/>
      <c r="L174" s="420">
        <v>0</v>
      </c>
      <c r="M174" s="420">
        <v>0</v>
      </c>
      <c r="N174" s="420">
        <v>0</v>
      </c>
      <c r="O174" s="420">
        <v>0</v>
      </c>
      <c r="P174" s="420">
        <v>0</v>
      </c>
      <c r="Q174" s="420">
        <v>0</v>
      </c>
      <c r="R174" s="420">
        <v>0</v>
      </c>
      <c r="S174" s="420">
        <v>0</v>
      </c>
      <c r="T174" s="420"/>
      <c r="U174" s="420"/>
      <c r="V174" s="420">
        <f>_xlfn.IFNA(VLOOKUP(A174,[3]進出口值表查詢結果!$C$11:$F$68,4,0),-[4]整車!$B$22)</f>
        <v>0</v>
      </c>
      <c r="W174" s="420">
        <f>_xlfn.IFNA(VLOOKUP(A174,[3]進出口值表查詢結果!$C$11:$F$68,3,0),-[4]整車!$B$22)</f>
        <v>0</v>
      </c>
      <c r="X174" s="420">
        <f>_xlfn.IFNA(VLOOKUP(A174,[5]進出口值表查詢結果!$C$11:$F$75,4,0),-[4]整車!$B$22)</f>
        <v>18</v>
      </c>
      <c r="Y174" s="420">
        <f>_xlfn.IFNA(VLOOKUP(A174,[5]進出口值表查詢結果!$C$11:$F$75,3,0),-[4]整車!$B$22)</f>
        <v>3324</v>
      </c>
      <c r="Z174" s="414">
        <f t="shared" si="29"/>
        <v>18</v>
      </c>
      <c r="AA174" s="414">
        <f t="shared" si="30"/>
        <v>3324</v>
      </c>
    </row>
    <row r="175" spans="1:27">
      <c r="A175" s="457" t="s">
        <v>358</v>
      </c>
      <c r="B175" s="420"/>
      <c r="C175" s="420"/>
      <c r="D175" s="420"/>
      <c r="E175" s="420"/>
      <c r="F175" s="420">
        <v>0</v>
      </c>
      <c r="G175" s="420"/>
      <c r="H175" s="420">
        <v>0</v>
      </c>
      <c r="I175" s="420">
        <v>0</v>
      </c>
      <c r="J175" s="421"/>
      <c r="K175" s="422"/>
      <c r="L175" s="420">
        <v>0</v>
      </c>
      <c r="M175" s="420">
        <v>0</v>
      </c>
      <c r="N175" s="420">
        <v>0</v>
      </c>
      <c r="O175" s="420">
        <v>0</v>
      </c>
      <c r="P175" s="420">
        <v>0</v>
      </c>
      <c r="Q175" s="420">
        <v>0</v>
      </c>
      <c r="R175" s="420">
        <v>0</v>
      </c>
      <c r="S175" s="420">
        <v>0</v>
      </c>
      <c r="T175" s="420"/>
      <c r="U175" s="420"/>
      <c r="V175" s="420">
        <f>_xlfn.IFNA(VLOOKUP(A175,[3]進出口值表查詢結果!$C$11:$F$68,4,0),-[4]整車!$B$22)</f>
        <v>0</v>
      </c>
      <c r="W175" s="420">
        <f>_xlfn.IFNA(VLOOKUP(A175,[3]進出口值表查詢結果!$C$11:$F$68,3,0),-[4]整車!$B$22)</f>
        <v>0</v>
      </c>
      <c r="X175" s="420">
        <f>_xlfn.IFNA(VLOOKUP(A175,[5]進出口值表查詢結果!$C$11:$F$75,4,0),-[4]整車!$B$22)</f>
        <v>0</v>
      </c>
      <c r="Y175" s="420">
        <f>_xlfn.IFNA(VLOOKUP(A175,[5]進出口值表查詢結果!$C$11:$F$75,3,0),-[4]整車!$B$22)</f>
        <v>0</v>
      </c>
      <c r="Z175" s="414">
        <f t="shared" si="29"/>
        <v>0</v>
      </c>
      <c r="AA175" s="414">
        <f t="shared" si="30"/>
        <v>0</v>
      </c>
    </row>
    <row r="176" spans="1:27">
      <c r="A176" s="457" t="s">
        <v>359</v>
      </c>
      <c r="B176" s="420"/>
      <c r="C176" s="420"/>
      <c r="D176" s="420"/>
      <c r="E176" s="420"/>
      <c r="F176" s="420">
        <v>0</v>
      </c>
      <c r="G176" s="420"/>
      <c r="H176" s="420">
        <v>0</v>
      </c>
      <c r="I176" s="420">
        <v>0</v>
      </c>
      <c r="J176" s="421"/>
      <c r="K176" s="422"/>
      <c r="L176" s="420">
        <v>0</v>
      </c>
      <c r="M176" s="420">
        <v>0</v>
      </c>
      <c r="N176" s="420">
        <v>0</v>
      </c>
      <c r="O176" s="420">
        <v>0</v>
      </c>
      <c r="P176" s="420">
        <v>0</v>
      </c>
      <c r="Q176" s="420">
        <v>0</v>
      </c>
      <c r="R176" s="420">
        <v>0</v>
      </c>
      <c r="S176" s="420">
        <v>0</v>
      </c>
      <c r="T176" s="420"/>
      <c r="U176" s="420"/>
      <c r="V176" s="420">
        <f>_xlfn.IFNA(VLOOKUP(A176,[3]進出口值表查詢結果!$C$11:$F$68,4,0),-[4]整車!$B$22)</f>
        <v>0</v>
      </c>
      <c r="W176" s="420">
        <f>_xlfn.IFNA(VLOOKUP(A176,[3]進出口值表查詢結果!$C$11:$F$68,3,0),-[4]整車!$B$22)</f>
        <v>0</v>
      </c>
      <c r="X176" s="420">
        <f>_xlfn.IFNA(VLOOKUP(A176,[5]進出口值表查詢結果!$C$11:$F$75,4,0),-[4]整車!$B$22)</f>
        <v>0</v>
      </c>
      <c r="Y176" s="420">
        <f>_xlfn.IFNA(VLOOKUP(A176,[5]進出口值表查詢結果!$C$11:$F$75,3,0),-[4]整車!$B$22)</f>
        <v>0</v>
      </c>
      <c r="Z176" s="414">
        <f t="shared" si="29"/>
        <v>0</v>
      </c>
      <c r="AA176" s="414">
        <f t="shared" si="30"/>
        <v>0</v>
      </c>
    </row>
    <row r="177" spans="1:27">
      <c r="A177" s="457" t="s">
        <v>360</v>
      </c>
      <c r="B177" s="420"/>
      <c r="C177" s="420"/>
      <c r="D177" s="420"/>
      <c r="E177" s="420"/>
      <c r="F177" s="420">
        <v>0</v>
      </c>
      <c r="G177" s="420"/>
      <c r="H177" s="420">
        <v>0</v>
      </c>
      <c r="I177" s="420">
        <v>0</v>
      </c>
      <c r="J177" s="421"/>
      <c r="K177" s="422"/>
      <c r="L177" s="420">
        <v>0</v>
      </c>
      <c r="M177" s="420">
        <v>0</v>
      </c>
      <c r="N177" s="420">
        <v>0</v>
      </c>
      <c r="O177" s="420">
        <v>0</v>
      </c>
      <c r="P177" s="420">
        <v>0</v>
      </c>
      <c r="Q177" s="420">
        <v>0</v>
      </c>
      <c r="R177" s="420">
        <v>0</v>
      </c>
      <c r="S177" s="420">
        <v>0</v>
      </c>
      <c r="T177" s="420"/>
      <c r="U177" s="420"/>
      <c r="V177" s="420">
        <f>_xlfn.IFNA(VLOOKUP(A177,[3]進出口值表查詢結果!$C$11:$F$68,4,0),-[4]整車!$B$22)</f>
        <v>0</v>
      </c>
      <c r="W177" s="420">
        <f>_xlfn.IFNA(VLOOKUP(A177,[3]進出口值表查詢結果!$C$11:$F$68,3,0),-[4]整車!$B$22)</f>
        <v>0</v>
      </c>
      <c r="X177" s="420">
        <f>_xlfn.IFNA(VLOOKUP(A177,[5]進出口值表查詢結果!$C$11:$F$75,4,0),-[4]整車!$B$22)</f>
        <v>0</v>
      </c>
      <c r="Y177" s="420">
        <f>_xlfn.IFNA(VLOOKUP(A177,[5]進出口值表查詢結果!$C$11:$F$75,3,0),-[4]整車!$B$22)</f>
        <v>0</v>
      </c>
      <c r="Z177" s="414">
        <f t="shared" si="29"/>
        <v>0</v>
      </c>
      <c r="AA177" s="414">
        <f t="shared" si="30"/>
        <v>0</v>
      </c>
    </row>
    <row r="178" spans="1:27">
      <c r="A178" s="457" t="s">
        <v>361</v>
      </c>
      <c r="B178" s="420"/>
      <c r="C178" s="420"/>
      <c r="D178" s="420"/>
      <c r="E178" s="420"/>
      <c r="F178" s="420">
        <v>0</v>
      </c>
      <c r="G178" s="420"/>
      <c r="H178" s="420">
        <v>0</v>
      </c>
      <c r="I178" s="420">
        <v>0</v>
      </c>
      <c r="J178" s="421"/>
      <c r="K178" s="422">
        <v>0</v>
      </c>
      <c r="L178" s="420">
        <v>0</v>
      </c>
      <c r="M178" s="420">
        <v>0</v>
      </c>
      <c r="N178" s="420">
        <v>0</v>
      </c>
      <c r="O178" s="420">
        <v>0</v>
      </c>
      <c r="P178" s="420">
        <v>0</v>
      </c>
      <c r="Q178" s="420">
        <v>0</v>
      </c>
      <c r="R178" s="420">
        <v>0</v>
      </c>
      <c r="S178" s="420">
        <v>0</v>
      </c>
      <c r="T178" s="420"/>
      <c r="U178" s="420"/>
      <c r="V178" s="420">
        <f>_xlfn.IFNA(VLOOKUP(A178,[3]進出口值表查詢結果!$C$11:$F$68,4,0),-[4]整車!$B$22)</f>
        <v>0</v>
      </c>
      <c r="W178" s="420">
        <f>_xlfn.IFNA(VLOOKUP(A178,[3]進出口值表查詢結果!$C$11:$F$68,3,0),-[4]整車!$B$22)</f>
        <v>0</v>
      </c>
      <c r="X178" s="420">
        <f>_xlfn.IFNA(VLOOKUP(A178,[5]進出口值表查詢結果!$C$11:$F$75,4,0),-[4]整車!$B$22)</f>
        <v>0</v>
      </c>
      <c r="Y178" s="420">
        <f>_xlfn.IFNA(VLOOKUP(A178,[5]進出口值表查詢結果!$C$11:$F$75,3,0),-[4]整車!$B$22)</f>
        <v>0</v>
      </c>
      <c r="Z178" s="414">
        <f t="shared" si="29"/>
        <v>0</v>
      </c>
      <c r="AA178" s="414">
        <f t="shared" si="30"/>
        <v>0</v>
      </c>
    </row>
    <row r="179" spans="1:27">
      <c r="A179" s="457" t="s">
        <v>362</v>
      </c>
      <c r="B179" s="420"/>
      <c r="C179" s="420"/>
      <c r="D179" s="420"/>
      <c r="E179" s="420"/>
      <c r="F179" s="420">
        <v>0</v>
      </c>
      <c r="G179" s="420"/>
      <c r="H179" s="420">
        <v>0</v>
      </c>
      <c r="I179" s="420">
        <v>0</v>
      </c>
      <c r="J179" s="421"/>
      <c r="K179" s="422">
        <v>0</v>
      </c>
      <c r="L179" s="420">
        <v>0</v>
      </c>
      <c r="M179" s="420">
        <v>0</v>
      </c>
      <c r="N179" s="420">
        <v>0</v>
      </c>
      <c r="O179" s="420">
        <v>0</v>
      </c>
      <c r="P179" s="420">
        <v>0</v>
      </c>
      <c r="Q179" s="420">
        <v>0</v>
      </c>
      <c r="R179" s="420">
        <v>0</v>
      </c>
      <c r="S179" s="420">
        <v>0</v>
      </c>
      <c r="T179" s="420"/>
      <c r="U179" s="420"/>
      <c r="V179" s="420">
        <f>_xlfn.IFNA(VLOOKUP(A179,[3]進出口值表查詢結果!$C$11:$F$68,4,0),-[4]整車!$B$22)</f>
        <v>0</v>
      </c>
      <c r="W179" s="420">
        <f>_xlfn.IFNA(VLOOKUP(A179,[3]進出口值表查詢結果!$C$11:$F$68,3,0),-[4]整車!$B$22)</f>
        <v>0</v>
      </c>
      <c r="X179" s="420">
        <f>_xlfn.IFNA(VLOOKUP(A179,[5]進出口值表查詢結果!$C$11:$F$75,4,0),-[4]整車!$B$22)</f>
        <v>0</v>
      </c>
      <c r="Y179" s="420">
        <f>_xlfn.IFNA(VLOOKUP(A179,[5]進出口值表查詢結果!$C$11:$F$75,3,0),-[4]整車!$B$22)</f>
        <v>0</v>
      </c>
      <c r="Z179" s="414">
        <f t="shared" si="29"/>
        <v>0</v>
      </c>
      <c r="AA179" s="414">
        <f t="shared" si="30"/>
        <v>0</v>
      </c>
    </row>
    <row r="180" spans="1:27">
      <c r="A180" s="457" t="s">
        <v>363</v>
      </c>
      <c r="B180" s="420"/>
      <c r="C180" s="420"/>
      <c r="D180" s="420"/>
      <c r="E180" s="420"/>
      <c r="F180" s="420">
        <v>0</v>
      </c>
      <c r="G180" s="420"/>
      <c r="H180" s="420">
        <v>0</v>
      </c>
      <c r="I180" s="420">
        <v>0</v>
      </c>
      <c r="J180" s="421"/>
      <c r="K180" s="422">
        <v>0</v>
      </c>
      <c r="L180" s="420">
        <v>0</v>
      </c>
      <c r="M180" s="420">
        <v>0</v>
      </c>
      <c r="N180" s="420">
        <v>0</v>
      </c>
      <c r="O180" s="420">
        <v>0</v>
      </c>
      <c r="P180" s="420">
        <v>0</v>
      </c>
      <c r="Q180" s="420">
        <v>0</v>
      </c>
      <c r="R180" s="420">
        <v>0</v>
      </c>
      <c r="S180" s="420">
        <v>0</v>
      </c>
      <c r="T180" s="420"/>
      <c r="U180" s="420"/>
      <c r="V180" s="420">
        <f>_xlfn.IFNA(VLOOKUP(A180,[3]進出口值表查詢結果!$C$11:$F$68,4,0),-[4]整車!$B$22)</f>
        <v>0</v>
      </c>
      <c r="W180" s="420">
        <f>_xlfn.IFNA(VLOOKUP(A180,[3]進出口值表查詢結果!$C$11:$F$68,3,0),-[4]整車!$B$22)</f>
        <v>0</v>
      </c>
      <c r="X180" s="420">
        <f>_xlfn.IFNA(VLOOKUP(A180,[5]進出口值表查詢結果!$C$11:$F$75,4,0),-[4]整車!$B$22)</f>
        <v>0</v>
      </c>
      <c r="Y180" s="420">
        <f>_xlfn.IFNA(VLOOKUP(A180,[5]進出口值表查詢結果!$C$11:$F$75,3,0),-[4]整車!$B$22)</f>
        <v>0</v>
      </c>
      <c r="Z180" s="414">
        <f t="shared" si="29"/>
        <v>0</v>
      </c>
      <c r="AA180" s="414">
        <f t="shared" si="30"/>
        <v>0</v>
      </c>
    </row>
    <row r="181" spans="1:27">
      <c r="A181" s="457" t="s">
        <v>364</v>
      </c>
      <c r="B181" s="420"/>
      <c r="C181" s="420"/>
      <c r="D181" s="420"/>
      <c r="E181" s="420"/>
      <c r="F181" s="420">
        <v>0</v>
      </c>
      <c r="G181" s="420"/>
      <c r="H181" s="420">
        <v>0</v>
      </c>
      <c r="I181" s="420">
        <v>0</v>
      </c>
      <c r="J181" s="421"/>
      <c r="K181" s="422">
        <v>0</v>
      </c>
      <c r="L181" s="420">
        <v>0</v>
      </c>
      <c r="M181" s="420">
        <v>0</v>
      </c>
      <c r="N181" s="420">
        <v>0</v>
      </c>
      <c r="O181" s="420">
        <v>0</v>
      </c>
      <c r="P181" s="420">
        <v>0</v>
      </c>
      <c r="Q181" s="420">
        <v>0</v>
      </c>
      <c r="R181" s="420">
        <v>0</v>
      </c>
      <c r="S181" s="420">
        <v>0</v>
      </c>
      <c r="T181" s="420"/>
      <c r="U181" s="420"/>
      <c r="V181" s="420">
        <f>_xlfn.IFNA(VLOOKUP(A181,[3]進出口值表查詢結果!$C$11:$F$68,4,0),-[4]整車!$B$22)</f>
        <v>0</v>
      </c>
      <c r="W181" s="420">
        <f>_xlfn.IFNA(VLOOKUP(A181,[3]進出口值表查詢結果!$C$11:$F$68,3,0),-[4]整車!$B$22)</f>
        <v>0</v>
      </c>
      <c r="X181" s="420">
        <f>_xlfn.IFNA(VLOOKUP(A181,[5]進出口值表查詢結果!$C$11:$F$75,4,0),-[4]整車!$B$22)</f>
        <v>0</v>
      </c>
      <c r="Y181" s="420">
        <f>_xlfn.IFNA(VLOOKUP(A181,[5]進出口值表查詢結果!$C$11:$F$75,3,0),-[4]整車!$B$22)</f>
        <v>0</v>
      </c>
      <c r="Z181" s="414">
        <f t="shared" si="29"/>
        <v>0</v>
      </c>
      <c r="AA181" s="414">
        <f t="shared" si="30"/>
        <v>0</v>
      </c>
    </row>
    <row r="182" spans="1:27">
      <c r="A182" s="457" t="s">
        <v>365</v>
      </c>
      <c r="B182" s="420"/>
      <c r="C182" s="420"/>
      <c r="D182" s="420"/>
      <c r="E182" s="420"/>
      <c r="F182" s="420">
        <v>0</v>
      </c>
      <c r="G182" s="420"/>
      <c r="H182" s="420">
        <v>0</v>
      </c>
      <c r="I182" s="420">
        <v>0</v>
      </c>
      <c r="J182" s="421"/>
      <c r="K182" s="422">
        <v>0</v>
      </c>
      <c r="L182" s="420">
        <v>0</v>
      </c>
      <c r="M182" s="420">
        <v>0</v>
      </c>
      <c r="N182" s="420">
        <v>0</v>
      </c>
      <c r="O182" s="420">
        <v>0</v>
      </c>
      <c r="P182" s="420">
        <v>0</v>
      </c>
      <c r="Q182" s="420">
        <v>0</v>
      </c>
      <c r="R182" s="420">
        <v>0</v>
      </c>
      <c r="S182" s="420">
        <v>0</v>
      </c>
      <c r="T182" s="420"/>
      <c r="U182" s="420"/>
      <c r="V182" s="420">
        <f>_xlfn.IFNA(VLOOKUP(A182,[3]進出口值表查詢結果!$C$11:$F$68,4,0),-[4]整車!$B$22)</f>
        <v>0</v>
      </c>
      <c r="W182" s="420">
        <f>_xlfn.IFNA(VLOOKUP(A182,[3]進出口值表查詢結果!$C$11:$F$68,3,0),-[4]整車!$B$22)</f>
        <v>0</v>
      </c>
      <c r="X182" s="420">
        <f>_xlfn.IFNA(VLOOKUP(A182,[5]進出口值表查詢結果!$C$11:$F$75,4,0),-[4]整車!$B$22)</f>
        <v>0</v>
      </c>
      <c r="Y182" s="420">
        <f>_xlfn.IFNA(VLOOKUP(A182,[5]進出口值表查詢結果!$C$11:$F$75,3,0),-[4]整車!$B$22)</f>
        <v>0</v>
      </c>
      <c r="Z182" s="414">
        <f t="shared" si="29"/>
        <v>0</v>
      </c>
      <c r="AA182" s="414">
        <f t="shared" si="30"/>
        <v>0</v>
      </c>
    </row>
    <row r="183" spans="1:27">
      <c r="A183" s="457" t="s">
        <v>366</v>
      </c>
      <c r="B183" s="420"/>
      <c r="C183" s="420"/>
      <c r="D183" s="420"/>
      <c r="E183" s="420"/>
      <c r="F183" s="420">
        <v>0</v>
      </c>
      <c r="G183" s="420"/>
      <c r="H183" s="420">
        <v>0</v>
      </c>
      <c r="I183" s="420">
        <v>0</v>
      </c>
      <c r="J183" s="421"/>
      <c r="K183" s="422">
        <v>0</v>
      </c>
      <c r="L183" s="420">
        <v>0</v>
      </c>
      <c r="M183" s="420">
        <v>0</v>
      </c>
      <c r="N183" s="420">
        <v>0</v>
      </c>
      <c r="O183" s="420">
        <v>0</v>
      </c>
      <c r="P183" s="420">
        <v>0</v>
      </c>
      <c r="Q183" s="420">
        <v>0</v>
      </c>
      <c r="R183" s="420">
        <v>0</v>
      </c>
      <c r="S183" s="420">
        <v>0</v>
      </c>
      <c r="T183" s="420"/>
      <c r="U183" s="420"/>
      <c r="V183" s="420">
        <f>_xlfn.IFNA(VLOOKUP(A183,[3]進出口值表查詢結果!$C$11:$F$68,4,0),-[4]整車!$B$22)</f>
        <v>0</v>
      </c>
      <c r="W183" s="420">
        <f>_xlfn.IFNA(VLOOKUP(A183,[3]進出口值表查詢結果!$C$11:$F$68,3,0),-[4]整車!$B$22)</f>
        <v>0</v>
      </c>
      <c r="X183" s="420">
        <f>_xlfn.IFNA(VLOOKUP(A183,[5]進出口值表查詢結果!$C$11:$F$75,4,0),-[4]整車!$B$22)</f>
        <v>0</v>
      </c>
      <c r="Y183" s="420">
        <f>_xlfn.IFNA(VLOOKUP(A183,[5]進出口值表查詢結果!$C$11:$F$75,3,0),-[4]整車!$B$22)</f>
        <v>0</v>
      </c>
      <c r="Z183" s="414">
        <f t="shared" si="29"/>
        <v>0</v>
      </c>
      <c r="AA183" s="414">
        <f t="shared" si="30"/>
        <v>0</v>
      </c>
    </row>
    <row r="184" spans="1:27">
      <c r="A184" s="457" t="s">
        <v>367</v>
      </c>
      <c r="B184" s="420"/>
      <c r="C184" s="420"/>
      <c r="D184" s="420"/>
      <c r="E184" s="420"/>
      <c r="F184" s="420">
        <v>0</v>
      </c>
      <c r="G184" s="420"/>
      <c r="H184" s="420">
        <v>0</v>
      </c>
      <c r="I184" s="420">
        <v>0</v>
      </c>
      <c r="J184" s="421"/>
      <c r="K184" s="422">
        <v>0</v>
      </c>
      <c r="L184" s="420">
        <v>0</v>
      </c>
      <c r="M184" s="420">
        <v>0</v>
      </c>
      <c r="N184" s="420">
        <v>0</v>
      </c>
      <c r="O184" s="420">
        <v>0</v>
      </c>
      <c r="P184" s="420">
        <v>0</v>
      </c>
      <c r="Q184" s="420">
        <v>0</v>
      </c>
      <c r="R184" s="420">
        <v>0</v>
      </c>
      <c r="S184" s="420">
        <v>0</v>
      </c>
      <c r="T184" s="420"/>
      <c r="U184" s="420"/>
      <c r="V184" s="420">
        <f>_xlfn.IFNA(VLOOKUP(A184,[3]進出口值表查詢結果!$C$11:$F$68,4,0),-[4]整車!$B$22)</f>
        <v>0</v>
      </c>
      <c r="W184" s="420">
        <f>_xlfn.IFNA(VLOOKUP(A184,[3]進出口值表查詢結果!$C$11:$F$68,3,0),-[4]整車!$B$22)</f>
        <v>0</v>
      </c>
      <c r="X184" s="420">
        <f>_xlfn.IFNA(VLOOKUP(A184,[5]進出口值表查詢結果!$C$11:$F$75,4,0),-[4]整車!$B$22)</f>
        <v>0</v>
      </c>
      <c r="Y184" s="420">
        <f>_xlfn.IFNA(VLOOKUP(A184,[5]進出口值表查詢結果!$C$11:$F$75,3,0),-[4]整車!$B$22)</f>
        <v>0</v>
      </c>
      <c r="Z184" s="414">
        <f t="shared" si="29"/>
        <v>0</v>
      </c>
      <c r="AA184" s="414">
        <f t="shared" si="30"/>
        <v>0</v>
      </c>
    </row>
    <row r="185" spans="1:27">
      <c r="A185" s="457" t="s">
        <v>368</v>
      </c>
      <c r="B185" s="420"/>
      <c r="C185" s="420"/>
      <c r="D185" s="420"/>
      <c r="E185" s="420"/>
      <c r="F185" s="420">
        <v>0</v>
      </c>
      <c r="G185" s="420"/>
      <c r="H185" s="420">
        <v>0</v>
      </c>
      <c r="I185" s="420">
        <v>0</v>
      </c>
      <c r="J185" s="421"/>
      <c r="K185" s="422">
        <v>0</v>
      </c>
      <c r="L185" s="420">
        <v>0</v>
      </c>
      <c r="M185" s="420">
        <v>0</v>
      </c>
      <c r="N185" s="420">
        <v>0</v>
      </c>
      <c r="O185" s="420">
        <v>0</v>
      </c>
      <c r="P185" s="420">
        <v>0</v>
      </c>
      <c r="Q185" s="420">
        <v>0</v>
      </c>
      <c r="R185" s="420">
        <v>0</v>
      </c>
      <c r="S185" s="420">
        <v>0</v>
      </c>
      <c r="T185" s="420"/>
      <c r="U185" s="420"/>
      <c r="V185" s="420">
        <f>_xlfn.IFNA(VLOOKUP(A185,[3]進出口值表查詢結果!$C$11:$F$68,4,0),-[4]整車!$B$22)</f>
        <v>0</v>
      </c>
      <c r="W185" s="420">
        <f>_xlfn.IFNA(VLOOKUP(A185,[3]進出口值表查詢結果!$C$11:$F$68,3,0),-[4]整車!$B$22)</f>
        <v>0</v>
      </c>
      <c r="X185" s="420">
        <f>_xlfn.IFNA(VLOOKUP(A185,[5]進出口值表查詢結果!$C$11:$F$75,4,0),-[4]整車!$B$22)</f>
        <v>0</v>
      </c>
      <c r="Y185" s="420">
        <f>_xlfn.IFNA(VLOOKUP(A185,[5]進出口值表查詢結果!$C$11:$F$75,3,0),-[4]整車!$B$22)</f>
        <v>0</v>
      </c>
      <c r="Z185" s="414">
        <f t="shared" si="29"/>
        <v>0</v>
      </c>
      <c r="AA185" s="414">
        <f t="shared" si="30"/>
        <v>0</v>
      </c>
    </row>
    <row r="186" spans="1:27">
      <c r="A186" s="457" t="s">
        <v>369</v>
      </c>
      <c r="B186" s="420"/>
      <c r="C186" s="420"/>
      <c r="D186" s="420"/>
      <c r="E186" s="420"/>
      <c r="F186" s="420">
        <v>0</v>
      </c>
      <c r="G186" s="420"/>
      <c r="H186" s="420">
        <v>0</v>
      </c>
      <c r="I186" s="420">
        <v>0</v>
      </c>
      <c r="J186" s="421"/>
      <c r="K186" s="422"/>
      <c r="L186" s="420">
        <v>0</v>
      </c>
      <c r="M186" s="420">
        <v>0</v>
      </c>
      <c r="N186" s="420">
        <v>0</v>
      </c>
      <c r="O186" s="420">
        <v>0</v>
      </c>
      <c r="P186" s="420">
        <v>0</v>
      </c>
      <c r="Q186" s="420">
        <v>0</v>
      </c>
      <c r="R186" s="420">
        <v>0</v>
      </c>
      <c r="S186" s="420">
        <v>0</v>
      </c>
      <c r="T186" s="420"/>
      <c r="U186" s="420"/>
      <c r="V186" s="420">
        <f>_xlfn.IFNA(VLOOKUP(A186,[3]進出口值表查詢結果!$C$11:$F$68,4,0),-[4]整車!$B$22)</f>
        <v>0</v>
      </c>
      <c r="W186" s="420">
        <f>_xlfn.IFNA(VLOOKUP(A186,[3]進出口值表查詢結果!$C$11:$F$68,3,0),-[4]整車!$B$22)</f>
        <v>0</v>
      </c>
      <c r="X186" s="420">
        <f>_xlfn.IFNA(VLOOKUP(A186,[5]進出口值表查詢結果!$C$11:$F$75,4,0),-[4]整車!$B$22)</f>
        <v>0</v>
      </c>
      <c r="Y186" s="420">
        <f>_xlfn.IFNA(VLOOKUP(A186,[5]進出口值表查詢結果!$C$11:$F$75,3,0),-[4]整車!$B$22)</f>
        <v>0</v>
      </c>
      <c r="Z186" s="414">
        <f t="shared" ref="Z186:Z200" si="31">SUM(B186,D186,F186,H186,J186,L186,N186,P186,R186,T186,V186,X186)</f>
        <v>0</v>
      </c>
      <c r="AA186" s="414"/>
    </row>
    <row r="187" spans="1:27">
      <c r="A187" s="457" t="s">
        <v>370</v>
      </c>
      <c r="B187" s="420"/>
      <c r="C187" s="420"/>
      <c r="D187" s="420"/>
      <c r="E187" s="420"/>
      <c r="F187" s="420">
        <v>0</v>
      </c>
      <c r="G187" s="420"/>
      <c r="H187" s="420">
        <v>0</v>
      </c>
      <c r="I187" s="420">
        <v>0</v>
      </c>
      <c r="J187" s="421"/>
      <c r="K187" s="422">
        <v>0</v>
      </c>
      <c r="L187" s="420">
        <v>0</v>
      </c>
      <c r="M187" s="420">
        <v>0</v>
      </c>
      <c r="N187" s="420">
        <v>0</v>
      </c>
      <c r="O187" s="420">
        <v>0</v>
      </c>
      <c r="P187" s="420">
        <v>0</v>
      </c>
      <c r="Q187" s="420">
        <v>0</v>
      </c>
      <c r="R187" s="420">
        <v>0</v>
      </c>
      <c r="S187" s="420">
        <v>0</v>
      </c>
      <c r="T187" s="420"/>
      <c r="U187" s="420"/>
      <c r="V187" s="420">
        <f>_xlfn.IFNA(VLOOKUP(A187,[3]進出口值表查詢結果!$C$11:$F$68,4,0),-[4]整車!$B$22)</f>
        <v>0</v>
      </c>
      <c r="W187" s="420">
        <f>_xlfn.IFNA(VLOOKUP(A187,[3]進出口值表查詢結果!$C$11:$F$68,3,0),-[4]整車!$B$22)</f>
        <v>0</v>
      </c>
      <c r="X187" s="420">
        <f>_xlfn.IFNA(VLOOKUP(A187,[5]進出口值表查詢結果!$C$11:$F$75,4,0),-[4]整車!$B$22)</f>
        <v>0</v>
      </c>
      <c r="Y187" s="420">
        <f>_xlfn.IFNA(VLOOKUP(A187,[5]進出口值表查詢結果!$C$11:$F$75,3,0),-[4]整車!$B$22)</f>
        <v>0</v>
      </c>
      <c r="Z187" s="414">
        <f t="shared" si="31"/>
        <v>0</v>
      </c>
      <c r="AA187" s="414">
        <f t="shared" ref="AA187:AA200" si="32">SUM(C187,E187,G187,I187,K187,M187,O187,Q187,S187,U187,W187,Y187)</f>
        <v>0</v>
      </c>
    </row>
    <row r="188" spans="1:27">
      <c r="A188" s="457" t="s">
        <v>371</v>
      </c>
      <c r="B188" s="420"/>
      <c r="C188" s="420"/>
      <c r="D188" s="420"/>
      <c r="E188" s="420"/>
      <c r="F188" s="420">
        <v>0</v>
      </c>
      <c r="G188" s="420"/>
      <c r="H188" s="420">
        <v>0</v>
      </c>
      <c r="I188" s="420">
        <v>0</v>
      </c>
      <c r="J188" s="421"/>
      <c r="K188" s="422">
        <v>0</v>
      </c>
      <c r="L188" s="420">
        <v>0</v>
      </c>
      <c r="M188" s="420">
        <v>0</v>
      </c>
      <c r="N188" s="420">
        <v>0</v>
      </c>
      <c r="O188" s="420">
        <v>0</v>
      </c>
      <c r="P188" s="420">
        <v>0</v>
      </c>
      <c r="Q188" s="420">
        <v>0</v>
      </c>
      <c r="R188" s="420">
        <v>0</v>
      </c>
      <c r="S188" s="420">
        <v>0</v>
      </c>
      <c r="T188" s="420"/>
      <c r="U188" s="420"/>
      <c r="V188" s="420">
        <f>_xlfn.IFNA(VLOOKUP(A188,[3]進出口值表查詢結果!$C$11:$F$68,4,0),-[4]整車!$B$22)</f>
        <v>0</v>
      </c>
      <c r="W188" s="420">
        <f>_xlfn.IFNA(VLOOKUP(A188,[3]進出口值表查詢結果!$C$11:$F$68,3,0),-[4]整車!$B$22)</f>
        <v>0</v>
      </c>
      <c r="X188" s="420">
        <f>_xlfn.IFNA(VLOOKUP(A188,[5]進出口值表查詢結果!$C$11:$F$75,4,0),-[4]整車!$B$22)</f>
        <v>0</v>
      </c>
      <c r="Y188" s="420">
        <f>_xlfn.IFNA(VLOOKUP(A188,[5]進出口值表查詢結果!$C$11:$F$75,3,0),-[4]整車!$B$22)</f>
        <v>0</v>
      </c>
      <c r="Z188" s="414">
        <f t="shared" si="31"/>
        <v>0</v>
      </c>
      <c r="AA188" s="414">
        <f t="shared" si="32"/>
        <v>0</v>
      </c>
    </row>
    <row r="189" spans="1:27">
      <c r="A189" s="463" t="s">
        <v>372</v>
      </c>
      <c r="B189" s="441">
        <f t="shared" ref="B189:Y189" si="33">SUM(B190:B203)</f>
        <v>0</v>
      </c>
      <c r="C189" s="441">
        <f t="shared" si="33"/>
        <v>0</v>
      </c>
      <c r="D189" s="441">
        <f t="shared" si="33"/>
        <v>0</v>
      </c>
      <c r="E189" s="441">
        <f t="shared" si="33"/>
        <v>0</v>
      </c>
      <c r="F189" s="441">
        <f t="shared" si="33"/>
        <v>0</v>
      </c>
      <c r="G189" s="441">
        <f t="shared" si="33"/>
        <v>0</v>
      </c>
      <c r="H189" s="441">
        <f t="shared" si="33"/>
        <v>10</v>
      </c>
      <c r="I189" s="441">
        <f t="shared" si="33"/>
        <v>1060</v>
      </c>
      <c r="J189" s="442">
        <f t="shared" si="33"/>
        <v>0</v>
      </c>
      <c r="K189" s="443">
        <f t="shared" si="33"/>
        <v>0</v>
      </c>
      <c r="L189" s="441">
        <f t="shared" si="33"/>
        <v>10</v>
      </c>
      <c r="M189" s="441">
        <f t="shared" si="33"/>
        <v>1039</v>
      </c>
      <c r="N189" s="441">
        <f t="shared" si="33"/>
        <v>1</v>
      </c>
      <c r="O189" s="441">
        <f t="shared" si="33"/>
        <v>2028</v>
      </c>
      <c r="P189" s="441">
        <f t="shared" si="33"/>
        <v>0</v>
      </c>
      <c r="Q189" s="441">
        <f t="shared" si="33"/>
        <v>0</v>
      </c>
      <c r="R189" s="441">
        <f t="shared" si="33"/>
        <v>5</v>
      </c>
      <c r="S189" s="441">
        <f t="shared" si="33"/>
        <v>543</v>
      </c>
      <c r="T189" s="441">
        <f t="shared" si="33"/>
        <v>19</v>
      </c>
      <c r="U189" s="441">
        <f t="shared" si="33"/>
        <v>12461</v>
      </c>
      <c r="V189" s="441">
        <f>SUM(V190:V203)</f>
        <v>7</v>
      </c>
      <c r="W189" s="441">
        <f>SUM(W190:W203)</f>
        <v>8701</v>
      </c>
      <c r="X189" s="441">
        <f t="shared" si="33"/>
        <v>0</v>
      </c>
      <c r="Y189" s="441">
        <f t="shared" si="33"/>
        <v>0</v>
      </c>
      <c r="Z189" s="427">
        <f t="shared" si="31"/>
        <v>52</v>
      </c>
      <c r="AA189" s="427">
        <f t="shared" si="32"/>
        <v>25832</v>
      </c>
    </row>
    <row r="190" spans="1:27">
      <c r="A190" s="423" t="s">
        <v>146</v>
      </c>
      <c r="B190" s="420"/>
      <c r="C190" s="420"/>
      <c r="D190" s="420">
        <v>0</v>
      </c>
      <c r="E190" s="420">
        <v>0</v>
      </c>
      <c r="F190" s="420">
        <v>0</v>
      </c>
      <c r="G190" s="420"/>
      <c r="H190" s="420">
        <v>0</v>
      </c>
      <c r="I190" s="420">
        <v>0</v>
      </c>
      <c r="J190" s="421">
        <v>0</v>
      </c>
      <c r="K190" s="422">
        <v>0</v>
      </c>
      <c r="L190" s="420">
        <v>0</v>
      </c>
      <c r="M190" s="420">
        <v>0</v>
      </c>
      <c r="N190" s="420">
        <v>0</v>
      </c>
      <c r="O190" s="420">
        <v>0</v>
      </c>
      <c r="P190" s="420">
        <v>0</v>
      </c>
      <c r="Q190" s="420">
        <v>0</v>
      </c>
      <c r="R190" s="420">
        <v>0</v>
      </c>
      <c r="S190" s="420">
        <v>0</v>
      </c>
      <c r="T190" s="420"/>
      <c r="U190" s="420"/>
      <c r="V190" s="420">
        <f>_xlfn.IFNA(VLOOKUP(A190,[3]進出口值表查詢結果!$C$11:$F$68,4,0),-[4]整車!$B$22)</f>
        <v>0</v>
      </c>
      <c r="W190" s="420">
        <f>_xlfn.IFNA(VLOOKUP(A190,[3]進出口值表查詢結果!$C$11:$F$68,3,0),-[4]整車!$B$22)</f>
        <v>0</v>
      </c>
      <c r="X190" s="420">
        <f>_xlfn.IFNA(VLOOKUP(A190,[5]進出口值表查詢結果!$C$11:$F$80,4,0),-[4]整車!$B$22)</f>
        <v>0</v>
      </c>
      <c r="Y190" s="420">
        <f>_xlfn.IFNA(VLOOKUP(A190,[5]進出口值表查詢結果!$C$11:$F$80,3,0),-[4]整車!$B$22)</f>
        <v>0</v>
      </c>
      <c r="Z190" s="414">
        <f t="shared" si="31"/>
        <v>0</v>
      </c>
      <c r="AA190" s="414">
        <f t="shared" si="32"/>
        <v>0</v>
      </c>
    </row>
    <row r="191" spans="1:27">
      <c r="A191" s="425" t="s">
        <v>373</v>
      </c>
      <c r="B191" s="420"/>
      <c r="C191" s="420"/>
      <c r="D191" s="420"/>
      <c r="E191" s="420">
        <v>0</v>
      </c>
      <c r="F191" s="420">
        <v>0</v>
      </c>
      <c r="G191" s="420"/>
      <c r="H191" s="420">
        <v>0</v>
      </c>
      <c r="I191" s="420">
        <v>0</v>
      </c>
      <c r="J191" s="421">
        <v>0</v>
      </c>
      <c r="K191" s="422">
        <v>0</v>
      </c>
      <c r="L191" s="420">
        <v>0</v>
      </c>
      <c r="M191" s="420">
        <v>0</v>
      </c>
      <c r="N191" s="420">
        <v>0</v>
      </c>
      <c r="O191" s="420">
        <v>0</v>
      </c>
      <c r="P191" s="420">
        <v>0</v>
      </c>
      <c r="Q191" s="420">
        <v>0</v>
      </c>
      <c r="R191" s="420">
        <v>0</v>
      </c>
      <c r="S191" s="420">
        <v>0</v>
      </c>
      <c r="T191" s="420"/>
      <c r="U191" s="420"/>
      <c r="V191" s="420">
        <f>_xlfn.IFNA(VLOOKUP(A191,[3]進出口值表查詢結果!$C$11:$F$68,4,0),-[4]整車!$B$22)</f>
        <v>0</v>
      </c>
      <c r="W191" s="420">
        <f>_xlfn.IFNA(VLOOKUP(A191,[3]進出口值表查詢結果!$C$11:$F$68,3,0),-[4]整車!$B$22)</f>
        <v>0</v>
      </c>
      <c r="X191" s="420">
        <f>_xlfn.IFNA(VLOOKUP(A191,[5]進出口值表查詢結果!$C$11:$F$80,4,0),-[4]整車!$B$22)</f>
        <v>0</v>
      </c>
      <c r="Y191" s="420">
        <f>_xlfn.IFNA(VLOOKUP(A191,[5]進出口值表查詢結果!$C$11:$F$80,3,0),-[4]整車!$B$22)</f>
        <v>0</v>
      </c>
      <c r="Z191" s="414">
        <f t="shared" si="31"/>
        <v>0</v>
      </c>
      <c r="AA191" s="414">
        <f t="shared" si="32"/>
        <v>0</v>
      </c>
    </row>
    <row r="192" spans="1:27">
      <c r="A192" s="423" t="s">
        <v>374</v>
      </c>
      <c r="B192" s="420"/>
      <c r="C192" s="420"/>
      <c r="D192" s="420"/>
      <c r="E192" s="420">
        <v>0</v>
      </c>
      <c r="F192" s="420">
        <v>0</v>
      </c>
      <c r="G192" s="420"/>
      <c r="H192" s="420">
        <v>0</v>
      </c>
      <c r="I192" s="420">
        <v>0</v>
      </c>
      <c r="J192" s="421">
        <v>0</v>
      </c>
      <c r="K192" s="422">
        <v>0</v>
      </c>
      <c r="L192" s="420">
        <v>0</v>
      </c>
      <c r="M192" s="420">
        <v>0</v>
      </c>
      <c r="N192" s="420">
        <v>0</v>
      </c>
      <c r="O192" s="420">
        <v>0</v>
      </c>
      <c r="P192" s="420">
        <v>0</v>
      </c>
      <c r="Q192" s="420">
        <v>0</v>
      </c>
      <c r="R192" s="420">
        <v>0</v>
      </c>
      <c r="S192" s="420">
        <v>0</v>
      </c>
      <c r="T192" s="420"/>
      <c r="U192" s="420"/>
      <c r="V192" s="420">
        <f>_xlfn.IFNA(VLOOKUP(A192,[3]進出口值表查詢結果!$C$11:$F$68,4,0),-[4]整車!$B$22)</f>
        <v>0</v>
      </c>
      <c r="W192" s="420">
        <f>_xlfn.IFNA(VLOOKUP(A192,[3]進出口值表查詢結果!$C$11:$F$68,3,0),-[4]整車!$B$22)</f>
        <v>0</v>
      </c>
      <c r="X192" s="420">
        <f>_xlfn.IFNA(VLOOKUP(A192,[5]進出口值表查詢結果!$C$11:$F$80,4,0),-[4]整車!$B$22)</f>
        <v>0</v>
      </c>
      <c r="Y192" s="420">
        <f>_xlfn.IFNA(VLOOKUP(A192,[5]進出口值表查詢結果!$C$11:$F$80,3,0),-[4]整車!$B$22)</f>
        <v>0</v>
      </c>
      <c r="Z192" s="414">
        <f t="shared" si="31"/>
        <v>0</v>
      </c>
      <c r="AA192" s="414">
        <f t="shared" si="32"/>
        <v>0</v>
      </c>
    </row>
    <row r="193" spans="1:27">
      <c r="A193" s="445" t="s">
        <v>375</v>
      </c>
      <c r="B193" s="420"/>
      <c r="C193" s="420"/>
      <c r="D193" s="420"/>
      <c r="E193" s="420">
        <v>0</v>
      </c>
      <c r="F193" s="420">
        <v>0</v>
      </c>
      <c r="G193" s="420"/>
      <c r="H193" s="420">
        <v>10</v>
      </c>
      <c r="I193" s="420">
        <v>1060</v>
      </c>
      <c r="J193" s="421">
        <v>0</v>
      </c>
      <c r="K193" s="422">
        <v>0</v>
      </c>
      <c r="L193" s="420">
        <v>0</v>
      </c>
      <c r="M193" s="420">
        <v>0</v>
      </c>
      <c r="N193" s="420">
        <v>0</v>
      </c>
      <c r="O193" s="420">
        <v>0</v>
      </c>
      <c r="P193" s="420">
        <v>0</v>
      </c>
      <c r="Q193" s="420">
        <v>0</v>
      </c>
      <c r="R193" s="420">
        <v>0</v>
      </c>
      <c r="S193" s="420">
        <v>0</v>
      </c>
      <c r="T193" s="420"/>
      <c r="U193" s="420"/>
      <c r="V193" s="420">
        <f>_xlfn.IFNA(VLOOKUP(A193,[3]進出口值表查詢結果!$C$11:$F$68,4,0),-[4]整車!$B$22)</f>
        <v>0</v>
      </c>
      <c r="W193" s="420">
        <f>_xlfn.IFNA(VLOOKUP(A193,[3]進出口值表查詢結果!$C$11:$F$68,3,0),-[4]整車!$B$22)</f>
        <v>0</v>
      </c>
      <c r="X193" s="420">
        <f>_xlfn.IFNA(VLOOKUP(A193,[5]進出口值表查詢結果!$C$11:$F$80,4,0),-[4]整車!$B$22)</f>
        <v>0</v>
      </c>
      <c r="Y193" s="420">
        <f>_xlfn.IFNA(VLOOKUP(A193,[5]進出口值表查詢結果!$C$11:$F$80,3,0),-[4]整車!$B$22)</f>
        <v>0</v>
      </c>
      <c r="Z193" s="414">
        <f t="shared" si="31"/>
        <v>10</v>
      </c>
      <c r="AA193" s="414">
        <f t="shared" si="32"/>
        <v>1060</v>
      </c>
    </row>
    <row r="194" spans="1:27">
      <c r="A194" s="457" t="s">
        <v>376</v>
      </c>
      <c r="B194" s="420"/>
      <c r="C194" s="420"/>
      <c r="D194" s="420"/>
      <c r="E194" s="420">
        <v>0</v>
      </c>
      <c r="F194" s="420">
        <v>0</v>
      </c>
      <c r="G194" s="420"/>
      <c r="H194" s="420">
        <v>0</v>
      </c>
      <c r="I194" s="420">
        <v>0</v>
      </c>
      <c r="J194" s="421">
        <v>0</v>
      </c>
      <c r="K194" s="422">
        <v>0</v>
      </c>
      <c r="L194" s="420">
        <v>0</v>
      </c>
      <c r="M194" s="420">
        <v>0</v>
      </c>
      <c r="N194" s="420">
        <v>0</v>
      </c>
      <c r="O194" s="420">
        <v>0</v>
      </c>
      <c r="P194" s="420">
        <v>0</v>
      </c>
      <c r="Q194" s="420">
        <v>0</v>
      </c>
      <c r="R194" s="420">
        <v>0</v>
      </c>
      <c r="S194" s="420">
        <v>0</v>
      </c>
      <c r="T194" s="420"/>
      <c r="U194" s="420"/>
      <c r="V194" s="420">
        <f>_xlfn.IFNA(VLOOKUP(A194,[3]進出口值表查詢結果!$C$11:$F$68,4,0),-[4]整車!$B$22)</f>
        <v>0</v>
      </c>
      <c r="W194" s="420">
        <f>_xlfn.IFNA(VLOOKUP(A194,[3]進出口值表查詢結果!$C$11:$F$68,3,0),-[4]整車!$B$22)</f>
        <v>0</v>
      </c>
      <c r="X194" s="420">
        <f>_xlfn.IFNA(VLOOKUP(A194,[5]進出口值表查詢結果!$C$11:$F$80,4,0),-[4]整車!$B$22)</f>
        <v>0</v>
      </c>
      <c r="Y194" s="420">
        <f>_xlfn.IFNA(VLOOKUP(A194,[5]進出口值表查詢結果!$C$11:$F$80,3,0),-[4]整車!$B$22)</f>
        <v>0</v>
      </c>
      <c r="Z194" s="414">
        <f t="shared" si="31"/>
        <v>0</v>
      </c>
      <c r="AA194" s="414">
        <f t="shared" si="32"/>
        <v>0</v>
      </c>
    </row>
    <row r="195" spans="1:27">
      <c r="A195" s="423" t="s">
        <v>147</v>
      </c>
      <c r="B195" s="420"/>
      <c r="C195" s="420"/>
      <c r="D195" s="420"/>
      <c r="E195" s="420">
        <v>0</v>
      </c>
      <c r="F195" s="420">
        <v>0</v>
      </c>
      <c r="G195" s="420"/>
      <c r="H195" s="420">
        <v>0</v>
      </c>
      <c r="I195" s="420">
        <v>0</v>
      </c>
      <c r="J195" s="421">
        <v>0</v>
      </c>
      <c r="K195" s="422">
        <v>0</v>
      </c>
      <c r="L195" s="420">
        <v>0</v>
      </c>
      <c r="M195" s="420">
        <v>0</v>
      </c>
      <c r="N195" s="420">
        <v>0</v>
      </c>
      <c r="O195" s="420">
        <v>0</v>
      </c>
      <c r="P195" s="420">
        <v>0</v>
      </c>
      <c r="Q195" s="420">
        <v>0</v>
      </c>
      <c r="R195" s="420">
        <v>0</v>
      </c>
      <c r="S195" s="420">
        <v>0</v>
      </c>
      <c r="T195" s="420"/>
      <c r="U195" s="420"/>
      <c r="V195" s="420">
        <f>_xlfn.IFNA(VLOOKUP(A195,[3]進出口值表查詢結果!$C$11:$F$68,4,0),-[4]整車!$B$22)</f>
        <v>0</v>
      </c>
      <c r="W195" s="420">
        <f>_xlfn.IFNA(VLOOKUP(A195,[3]進出口值表查詢結果!$C$11:$F$68,3,0),-[4]整車!$B$22)</f>
        <v>0</v>
      </c>
      <c r="X195" s="420">
        <f>_xlfn.IFNA(VLOOKUP(A195,[5]進出口值表查詢結果!$C$11:$F$80,4,0),-[4]整車!$B$22)</f>
        <v>0</v>
      </c>
      <c r="Y195" s="420">
        <f>_xlfn.IFNA(VLOOKUP(A195,[5]進出口值表查詢結果!$C$11:$F$80,3,0),-[4]整車!$B$22)</f>
        <v>0</v>
      </c>
      <c r="Z195" s="414">
        <f t="shared" si="31"/>
        <v>0</v>
      </c>
      <c r="AA195" s="414">
        <f t="shared" si="32"/>
        <v>0</v>
      </c>
    </row>
    <row r="196" spans="1:27">
      <c r="A196" s="457" t="s">
        <v>377</v>
      </c>
      <c r="B196" s="420"/>
      <c r="C196" s="420"/>
      <c r="D196" s="420"/>
      <c r="E196" s="420">
        <v>0</v>
      </c>
      <c r="F196" s="420">
        <v>0</v>
      </c>
      <c r="G196" s="420"/>
      <c r="H196" s="420">
        <v>0</v>
      </c>
      <c r="I196" s="420">
        <v>0</v>
      </c>
      <c r="J196" s="421">
        <v>0</v>
      </c>
      <c r="K196" s="422">
        <v>0</v>
      </c>
      <c r="L196" s="420">
        <v>0</v>
      </c>
      <c r="M196" s="420">
        <v>0</v>
      </c>
      <c r="N196" s="420">
        <v>0</v>
      </c>
      <c r="O196" s="420">
        <v>0</v>
      </c>
      <c r="P196" s="420">
        <v>0</v>
      </c>
      <c r="Q196" s="420">
        <v>0</v>
      </c>
      <c r="R196" s="420">
        <v>0</v>
      </c>
      <c r="S196" s="420">
        <v>0</v>
      </c>
      <c r="T196" s="420">
        <v>19</v>
      </c>
      <c r="U196" s="420">
        <v>12461</v>
      </c>
      <c r="V196" s="420">
        <f>_xlfn.IFNA(VLOOKUP(A196,[3]進出口值表查詢結果!$C$11:$F$68,4,0),-[4]整車!$B$22)</f>
        <v>0</v>
      </c>
      <c r="W196" s="420">
        <f>_xlfn.IFNA(VLOOKUP(A196,[3]進出口值表查詢結果!$C$11:$F$68,3,0),-[4]整車!$B$22)</f>
        <v>0</v>
      </c>
      <c r="X196" s="420">
        <f>_xlfn.IFNA(VLOOKUP(A196,[5]進出口值表查詢結果!$C$11:$F$80,4,0),-[4]整車!$B$22)</f>
        <v>0</v>
      </c>
      <c r="Y196" s="420">
        <f>_xlfn.IFNA(VLOOKUP(A196,[5]進出口值表查詢結果!$C$11:$F$80,3,0),-[4]整車!$B$22)</f>
        <v>0</v>
      </c>
      <c r="Z196" s="414">
        <f t="shared" si="31"/>
        <v>19</v>
      </c>
      <c r="AA196" s="414">
        <f t="shared" si="32"/>
        <v>12461</v>
      </c>
    </row>
    <row r="197" spans="1:27">
      <c r="A197" s="457" t="s">
        <v>378</v>
      </c>
      <c r="B197" s="420"/>
      <c r="C197" s="420"/>
      <c r="D197" s="420"/>
      <c r="E197" s="420">
        <v>0</v>
      </c>
      <c r="F197" s="420">
        <v>0</v>
      </c>
      <c r="G197" s="420"/>
      <c r="H197" s="420">
        <v>0</v>
      </c>
      <c r="I197" s="420">
        <v>0</v>
      </c>
      <c r="J197" s="421">
        <v>0</v>
      </c>
      <c r="K197" s="422">
        <v>0</v>
      </c>
      <c r="L197" s="420">
        <v>0</v>
      </c>
      <c r="M197" s="420">
        <v>0</v>
      </c>
      <c r="N197" s="420">
        <v>0</v>
      </c>
      <c r="O197" s="420">
        <v>0</v>
      </c>
      <c r="P197" s="420">
        <v>0</v>
      </c>
      <c r="Q197" s="420">
        <v>0</v>
      </c>
      <c r="R197" s="420">
        <v>0</v>
      </c>
      <c r="S197" s="420">
        <v>0</v>
      </c>
      <c r="T197" s="420"/>
      <c r="U197" s="420"/>
      <c r="V197" s="420">
        <f>_xlfn.IFNA(VLOOKUP(A197,[3]進出口值表查詢結果!$C$11:$F$68,4,0),-[4]整車!$B$22)</f>
        <v>0</v>
      </c>
      <c r="W197" s="420">
        <f>_xlfn.IFNA(VLOOKUP(A197,[3]進出口值表查詢結果!$C$11:$F$68,3,0),-[4]整車!$B$22)</f>
        <v>0</v>
      </c>
      <c r="X197" s="420">
        <f>_xlfn.IFNA(VLOOKUP(A197,[5]進出口值表查詢結果!$C$11:$F$80,4,0),-[4]整車!$B$22)</f>
        <v>0</v>
      </c>
      <c r="Y197" s="420">
        <f>_xlfn.IFNA(VLOOKUP(A197,[5]進出口值表查詢結果!$C$11:$F$80,3,0),-[4]整車!$B$22)</f>
        <v>0</v>
      </c>
      <c r="Z197" s="414">
        <f t="shared" si="31"/>
        <v>0</v>
      </c>
      <c r="AA197" s="414">
        <f t="shared" si="32"/>
        <v>0</v>
      </c>
    </row>
    <row r="198" spans="1:27">
      <c r="A198" s="457" t="s">
        <v>379</v>
      </c>
      <c r="B198" s="420"/>
      <c r="C198" s="420"/>
      <c r="D198" s="420"/>
      <c r="E198" s="420">
        <v>0</v>
      </c>
      <c r="F198" s="420">
        <v>0</v>
      </c>
      <c r="G198" s="420"/>
      <c r="H198" s="420">
        <v>0</v>
      </c>
      <c r="I198" s="420">
        <v>0</v>
      </c>
      <c r="J198" s="421">
        <v>0</v>
      </c>
      <c r="K198" s="422">
        <v>0</v>
      </c>
      <c r="L198" s="420">
        <v>0</v>
      </c>
      <c r="M198" s="420">
        <v>0</v>
      </c>
      <c r="N198" s="420">
        <v>0</v>
      </c>
      <c r="O198" s="420">
        <v>0</v>
      </c>
      <c r="P198" s="420">
        <v>0</v>
      </c>
      <c r="Q198" s="420">
        <v>0</v>
      </c>
      <c r="R198" s="420">
        <v>0</v>
      </c>
      <c r="S198" s="420">
        <v>0</v>
      </c>
      <c r="T198" s="420"/>
      <c r="U198" s="420"/>
      <c r="V198" s="420">
        <f>_xlfn.IFNA(VLOOKUP(A198,[3]進出口值表查詢結果!$C$11:$F$68,4,0),-[4]整車!$B$22)</f>
        <v>0</v>
      </c>
      <c r="W198" s="420">
        <f>_xlfn.IFNA(VLOOKUP(A198,[3]進出口值表查詢結果!$C$11:$F$68,3,0),-[4]整車!$B$22)</f>
        <v>0</v>
      </c>
      <c r="X198" s="420">
        <f>_xlfn.IFNA(VLOOKUP(A198,[5]進出口值表查詢結果!$C$11:$F$80,4,0),-[4]整車!$B$22)</f>
        <v>0</v>
      </c>
      <c r="Y198" s="420">
        <f>_xlfn.IFNA(VLOOKUP(A198,[5]進出口值表查詢結果!$C$11:$F$80,3,0),-[4]整車!$B$22)</f>
        <v>0</v>
      </c>
      <c r="Z198" s="414">
        <f t="shared" si="31"/>
        <v>0</v>
      </c>
      <c r="AA198" s="414">
        <f t="shared" si="32"/>
        <v>0</v>
      </c>
    </row>
    <row r="199" spans="1:27">
      <c r="A199" s="457" t="s">
        <v>398</v>
      </c>
      <c r="B199" s="420"/>
      <c r="C199" s="420"/>
      <c r="D199" s="420"/>
      <c r="E199" s="420">
        <v>0</v>
      </c>
      <c r="F199" s="420">
        <v>0</v>
      </c>
      <c r="G199" s="420"/>
      <c r="H199" s="420">
        <v>0</v>
      </c>
      <c r="I199" s="420">
        <v>0</v>
      </c>
      <c r="J199" s="421" t="s">
        <v>60</v>
      </c>
      <c r="K199" s="422">
        <v>0</v>
      </c>
      <c r="L199" s="420">
        <v>10</v>
      </c>
      <c r="M199" s="420">
        <v>1039</v>
      </c>
      <c r="N199" s="420">
        <v>0</v>
      </c>
      <c r="O199" s="420">
        <v>0</v>
      </c>
      <c r="P199" s="420">
        <v>0</v>
      </c>
      <c r="Q199" s="420">
        <v>0</v>
      </c>
      <c r="R199" s="420">
        <v>5</v>
      </c>
      <c r="S199" s="420">
        <v>543</v>
      </c>
      <c r="T199" s="420"/>
      <c r="U199" s="420"/>
      <c r="V199" s="420">
        <f>_xlfn.IFNA(VLOOKUP(A199,[3]進出口值表查詢結果!$C$11:$F$68,4,0),-[4]整車!$B$22)</f>
        <v>2</v>
      </c>
      <c r="W199" s="420">
        <f>_xlfn.IFNA(VLOOKUP(A199,[3]進出口值表查詢結果!$C$11:$F$68,3,0),-[4]整車!$B$22)</f>
        <v>763</v>
      </c>
      <c r="X199" s="420">
        <f>_xlfn.IFNA(VLOOKUP(A199,[5]進出口值表查詢結果!$C$11:$F$80,4,0),-[4]整車!$B$22)</f>
        <v>0</v>
      </c>
      <c r="Y199" s="420">
        <f>_xlfn.IFNA(VLOOKUP(A199,[5]進出口值表查詢結果!$C$11:$F$80,3,0),-[4]整車!$B$22)</f>
        <v>0</v>
      </c>
      <c r="Z199" s="414">
        <f t="shared" si="31"/>
        <v>17</v>
      </c>
      <c r="AA199" s="414">
        <f t="shared" si="32"/>
        <v>2345</v>
      </c>
    </row>
    <row r="200" spans="1:27">
      <c r="A200" s="423" t="s">
        <v>148</v>
      </c>
      <c r="B200" s="420"/>
      <c r="C200" s="420"/>
      <c r="D200" s="420"/>
      <c r="E200" s="420">
        <v>0</v>
      </c>
      <c r="F200" s="420">
        <v>0</v>
      </c>
      <c r="G200" s="420"/>
      <c r="H200" s="420">
        <v>0</v>
      </c>
      <c r="I200" s="420">
        <v>0</v>
      </c>
      <c r="J200" s="421">
        <v>0</v>
      </c>
      <c r="K200" s="422">
        <v>0</v>
      </c>
      <c r="L200" s="420">
        <v>0</v>
      </c>
      <c r="M200" s="420">
        <v>0</v>
      </c>
      <c r="N200" s="420">
        <v>1</v>
      </c>
      <c r="O200" s="420">
        <v>2028</v>
      </c>
      <c r="P200" s="420">
        <v>0</v>
      </c>
      <c r="Q200" s="420">
        <v>0</v>
      </c>
      <c r="R200" s="420">
        <v>0</v>
      </c>
      <c r="S200" s="420">
        <v>0</v>
      </c>
      <c r="T200" s="420"/>
      <c r="U200" s="420"/>
      <c r="V200" s="420">
        <f>_xlfn.IFNA(VLOOKUP(A200,[3]進出口值表查詢結果!$C$11:$F$68,4,0),-[4]整車!$B$22)</f>
        <v>0</v>
      </c>
      <c r="W200" s="420">
        <f>_xlfn.IFNA(VLOOKUP(A200,[3]進出口值表查詢結果!$C$11:$F$68,3,0),-[4]整車!$B$22)</f>
        <v>0</v>
      </c>
      <c r="X200" s="420">
        <f>_xlfn.IFNA(VLOOKUP(A200,[5]進出口值表查詢結果!$C$11:$F$80,4,0),-[4]整車!$B$22)</f>
        <v>0</v>
      </c>
      <c r="Y200" s="420">
        <f>_xlfn.IFNA(VLOOKUP(A200,[5]進出口值表查詢結果!$C$11:$F$80,3,0),-[4]整車!$B$22)</f>
        <v>0</v>
      </c>
      <c r="Z200" s="414">
        <f t="shared" si="31"/>
        <v>1</v>
      </c>
      <c r="AA200" s="414">
        <f t="shared" si="32"/>
        <v>2028</v>
      </c>
    </row>
    <row r="201" spans="1:27">
      <c r="A201" s="461" t="s">
        <v>380</v>
      </c>
      <c r="B201" s="420"/>
      <c r="C201" s="420"/>
      <c r="D201" s="420"/>
      <c r="E201" s="420"/>
      <c r="F201" s="420"/>
      <c r="G201" s="420"/>
      <c r="H201" s="420">
        <v>0</v>
      </c>
      <c r="I201" s="420">
        <v>0</v>
      </c>
      <c r="J201" s="421" t="s">
        <v>60</v>
      </c>
      <c r="K201" s="422"/>
      <c r="L201" s="420">
        <v>0</v>
      </c>
      <c r="M201" s="420">
        <v>0</v>
      </c>
      <c r="N201" s="420">
        <v>0</v>
      </c>
      <c r="O201" s="420">
        <v>0</v>
      </c>
      <c r="P201" s="420">
        <v>0</v>
      </c>
      <c r="Q201" s="420">
        <v>0</v>
      </c>
      <c r="R201" s="420">
        <v>0</v>
      </c>
      <c r="S201" s="420">
        <v>0</v>
      </c>
      <c r="T201" s="420"/>
      <c r="U201" s="420"/>
      <c r="V201" s="420">
        <f>_xlfn.IFNA(VLOOKUP(A201,[3]進出口值表查詢結果!$C$11:$F$68,4,0),-[4]整車!$B$22)</f>
        <v>0</v>
      </c>
      <c r="W201" s="420">
        <f>_xlfn.IFNA(VLOOKUP(A201,[3]進出口值表查詢結果!$C$11:$F$68,3,0),-[4]整車!$B$22)</f>
        <v>0</v>
      </c>
      <c r="X201" s="420">
        <f>_xlfn.IFNA(VLOOKUP(A201,[5]進出口值表查詢結果!$C$11:$F$80,4,0),-[4]整車!$B$22)</f>
        <v>0</v>
      </c>
      <c r="Y201" s="420">
        <f>_xlfn.IFNA(VLOOKUP(A201,[5]進出口值表查詢結果!$C$11:$F$80,3,0),-[4]整車!$B$22)</f>
        <v>0</v>
      </c>
      <c r="Z201" s="414"/>
      <c r="AA201" s="414"/>
    </row>
    <row r="202" spans="1:27">
      <c r="A202" s="457" t="s">
        <v>399</v>
      </c>
      <c r="B202" s="420"/>
      <c r="C202" s="420"/>
      <c r="D202" s="420"/>
      <c r="E202" s="420"/>
      <c r="F202" s="420"/>
      <c r="G202" s="420"/>
      <c r="H202" s="420">
        <v>0</v>
      </c>
      <c r="I202" s="420">
        <v>0</v>
      </c>
      <c r="J202" s="421" t="s">
        <v>60</v>
      </c>
      <c r="K202" s="422"/>
      <c r="L202" s="420">
        <v>0</v>
      </c>
      <c r="M202" s="420">
        <v>0</v>
      </c>
      <c r="N202" s="420">
        <v>0</v>
      </c>
      <c r="O202" s="420">
        <v>0</v>
      </c>
      <c r="P202" s="420">
        <v>0</v>
      </c>
      <c r="Q202" s="420">
        <v>0</v>
      </c>
      <c r="R202" s="420">
        <v>0</v>
      </c>
      <c r="S202" s="420">
        <v>0</v>
      </c>
      <c r="T202" s="420"/>
      <c r="U202" s="420"/>
      <c r="V202" s="420">
        <f>_xlfn.IFNA(VLOOKUP(A202,[3]進出口值表查詢結果!$C$11:$F$68,4,0),-[4]整車!$B$22)</f>
        <v>5</v>
      </c>
      <c r="W202" s="420">
        <f>_xlfn.IFNA(VLOOKUP(A202,[3]進出口值表查詢結果!$C$11:$F$68,3,0),-[4]整車!$B$22)</f>
        <v>7938</v>
      </c>
      <c r="X202" s="420">
        <f>_xlfn.IFNA(VLOOKUP(A202,[5]進出口值表查詢結果!$C$11:$F$80,4,0),-[4]整車!$B$22)</f>
        <v>0</v>
      </c>
      <c r="Y202" s="420">
        <f>_xlfn.IFNA(VLOOKUP(A202,[5]進出口值表查詢結果!$C$11:$F$80,3,0),-[4]整車!$B$22)</f>
        <v>0</v>
      </c>
      <c r="Z202" s="414"/>
      <c r="AA202" s="414"/>
    </row>
    <row r="203" spans="1:27">
      <c r="A203" s="461" t="s">
        <v>400</v>
      </c>
      <c r="B203" s="420"/>
      <c r="C203" s="420"/>
      <c r="D203" s="446">
        <v>0</v>
      </c>
      <c r="E203" s="420">
        <v>0</v>
      </c>
      <c r="F203" s="420">
        <v>0</v>
      </c>
      <c r="G203" s="447"/>
      <c r="H203" s="420">
        <v>0</v>
      </c>
      <c r="I203" s="420">
        <v>0</v>
      </c>
      <c r="J203" s="421">
        <v>0</v>
      </c>
      <c r="K203" s="422">
        <v>0</v>
      </c>
      <c r="L203" s="420">
        <v>0</v>
      </c>
      <c r="M203" s="420">
        <v>0</v>
      </c>
      <c r="N203" s="420">
        <v>0</v>
      </c>
      <c r="O203" s="420">
        <v>0</v>
      </c>
      <c r="P203" s="420">
        <v>0</v>
      </c>
      <c r="Q203" s="420">
        <v>0</v>
      </c>
      <c r="R203" s="420">
        <v>0</v>
      </c>
      <c r="S203" s="420">
        <v>0</v>
      </c>
      <c r="T203" s="420">
        <v>0</v>
      </c>
      <c r="U203" s="420">
        <v>0</v>
      </c>
      <c r="V203" s="420">
        <f>_xlfn.IFNA(VLOOKUP(A203,[3]進出口值表查詢結果!$C$11:$F$68,4,0),-[4]整車!$B$22)</f>
        <v>0</v>
      </c>
      <c r="W203" s="420">
        <f>_xlfn.IFNA(VLOOKUP(A203,[3]進出口值表查詢結果!$C$11:$F$68,3,0),-[4]整車!$B$22)</f>
        <v>0</v>
      </c>
      <c r="X203" s="420">
        <f>_xlfn.IFNA(VLOOKUP(A203,[5]進出口值表查詢結果!$C$11:$F$80,4,0),-[4]整車!$B$22)</f>
        <v>0</v>
      </c>
      <c r="Y203" s="420">
        <f>_xlfn.IFNA(VLOOKUP(A203,[5]進出口值表查詢結果!$C$11:$F$80,3,0),-[4]整車!$B$22)</f>
        <v>0</v>
      </c>
      <c r="Z203" s="420">
        <f>SUM(B203,D203,F203,H203,J203,L203,N203,P203,R203,T203,V203,X203)</f>
        <v>0</v>
      </c>
      <c r="AA203" s="420">
        <f>SUM(C203,E203,G203,I203,K203,M203,O203,Q203,S203,U203,W203,Y203)</f>
        <v>0</v>
      </c>
    </row>
    <row r="204" spans="1:27">
      <c r="A204" s="396"/>
      <c r="B204" s="556" t="s">
        <v>149</v>
      </c>
      <c r="C204" s="557"/>
      <c r="D204" s="397" t="s">
        <v>125</v>
      </c>
      <c r="E204" s="398"/>
      <c r="F204" s="397" t="s">
        <v>126</v>
      </c>
      <c r="G204" s="398"/>
      <c r="H204" s="397" t="s">
        <v>127</v>
      </c>
      <c r="I204" s="398"/>
      <c r="J204" s="399" t="s">
        <v>128</v>
      </c>
      <c r="K204" s="400"/>
      <c r="L204" s="397" t="s">
        <v>129</v>
      </c>
      <c r="M204" s="398"/>
      <c r="N204" s="397" t="s">
        <v>130</v>
      </c>
      <c r="O204" s="398"/>
      <c r="P204" s="397" t="s">
        <v>131</v>
      </c>
      <c r="Q204" s="398"/>
      <c r="R204" s="397" t="s">
        <v>132</v>
      </c>
      <c r="S204" s="398"/>
      <c r="T204" s="397" t="s">
        <v>133</v>
      </c>
      <c r="U204" s="398"/>
      <c r="V204" s="397" t="s">
        <v>134</v>
      </c>
      <c r="W204" s="398"/>
      <c r="X204" s="397" t="s">
        <v>135</v>
      </c>
      <c r="Y204" s="398"/>
      <c r="Z204" s="556" t="s">
        <v>106</v>
      </c>
      <c r="AA204" s="557"/>
    </row>
    <row r="205" spans="1:27">
      <c r="A205" s="448" t="s">
        <v>150</v>
      </c>
      <c r="B205" s="402" t="s">
        <v>137</v>
      </c>
      <c r="C205" s="402" t="s">
        <v>138</v>
      </c>
      <c r="D205" s="402" t="s">
        <v>139</v>
      </c>
      <c r="E205" s="402" t="s">
        <v>140</v>
      </c>
      <c r="F205" s="402" t="s">
        <v>139</v>
      </c>
      <c r="G205" s="402" t="s">
        <v>140</v>
      </c>
      <c r="H205" s="402" t="s">
        <v>139</v>
      </c>
      <c r="I205" s="402" t="s">
        <v>140</v>
      </c>
      <c r="J205" s="403" t="s">
        <v>139</v>
      </c>
      <c r="K205" s="404" t="s">
        <v>140</v>
      </c>
      <c r="L205" s="402" t="s">
        <v>139</v>
      </c>
      <c r="M205" s="402" t="s">
        <v>140</v>
      </c>
      <c r="N205" s="402" t="s">
        <v>139</v>
      </c>
      <c r="O205" s="402" t="s">
        <v>140</v>
      </c>
      <c r="P205" s="402" t="s">
        <v>139</v>
      </c>
      <c r="Q205" s="402" t="s">
        <v>140</v>
      </c>
      <c r="R205" s="402" t="s">
        <v>139</v>
      </c>
      <c r="S205" s="402" t="s">
        <v>140</v>
      </c>
      <c r="T205" s="402" t="s">
        <v>139</v>
      </c>
      <c r="U205" s="402" t="s">
        <v>140</v>
      </c>
      <c r="V205" s="402" t="s">
        <v>139</v>
      </c>
      <c r="W205" s="402" t="s">
        <v>140</v>
      </c>
      <c r="X205" s="402" t="s">
        <v>139</v>
      </c>
      <c r="Y205" s="402" t="s">
        <v>140</v>
      </c>
      <c r="Z205" s="402" t="s">
        <v>139</v>
      </c>
      <c r="AA205" s="402" t="s">
        <v>140</v>
      </c>
    </row>
    <row r="206" spans="1:27">
      <c r="A206" s="401" t="s">
        <v>151</v>
      </c>
      <c r="B206" s="420">
        <v>6025</v>
      </c>
      <c r="C206" s="420">
        <v>1562479</v>
      </c>
      <c r="D206" s="420">
        <v>5953</v>
      </c>
      <c r="E206" s="420">
        <v>1186109</v>
      </c>
      <c r="F206" s="420">
        <v>5066</v>
      </c>
      <c r="G206" s="420">
        <v>1570229</v>
      </c>
      <c r="H206" s="420">
        <v>7242</v>
      </c>
      <c r="I206" s="420">
        <v>1397285</v>
      </c>
      <c r="J206" s="421">
        <v>9565</v>
      </c>
      <c r="K206" s="422">
        <v>2314635</v>
      </c>
      <c r="L206" s="420">
        <v>11407</v>
      </c>
      <c r="M206" s="420">
        <v>2211195</v>
      </c>
      <c r="N206" s="420">
        <v>8718</v>
      </c>
      <c r="O206" s="420">
        <v>1911196</v>
      </c>
      <c r="P206" s="420"/>
      <c r="Q206" s="420"/>
      <c r="R206" s="420"/>
      <c r="S206" s="420"/>
      <c r="T206" s="420"/>
      <c r="U206" s="420"/>
      <c r="V206" s="420"/>
      <c r="W206" s="420"/>
      <c r="X206" s="420"/>
      <c r="Y206" s="420"/>
      <c r="Z206" s="420">
        <f>SUM(B206,D206,F206,H206,J206,L206,N206,P206,R206,T206,V206,X206)</f>
        <v>53976</v>
      </c>
      <c r="AA206" s="414">
        <f>SUM(C206,E206,G206,I206,K206,M206,O206,Q206,S206,U206,W206,Y206)</f>
        <v>12153128</v>
      </c>
    </row>
  </sheetData>
  <mergeCells count="2">
    <mergeCell ref="B204:C204"/>
    <mergeCell ref="Z204:AA204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74"/>
  <sheetViews>
    <sheetView zoomScaleNormal="100" workbookViewId="0">
      <selection activeCell="B66" sqref="B66"/>
    </sheetView>
  </sheetViews>
  <sheetFormatPr defaultRowHeight="16.5"/>
  <cols>
    <col min="1" max="1" width="16.875" style="5" customWidth="1"/>
    <col min="2" max="2" width="14" style="5" bestFit="1" customWidth="1"/>
    <col min="3" max="3" width="14.25" style="59" customWidth="1"/>
    <col min="4" max="4" width="13.75" style="60" customWidth="1"/>
    <col min="5" max="5" width="15" style="5" customWidth="1"/>
    <col min="6" max="6" width="15.125" style="59" customWidth="1"/>
    <col min="7" max="7" width="12.25" style="60" customWidth="1"/>
    <col min="8" max="8" width="11.625" style="5" customWidth="1"/>
    <col min="9" max="9" width="11.875" style="5" customWidth="1"/>
    <col min="10" max="10" width="10.625" style="5" bestFit="1" customWidth="1"/>
    <col min="11" max="256" width="8.875" style="5"/>
    <col min="257" max="257" width="16" style="5" customWidth="1"/>
    <col min="258" max="259" width="12.125" style="5" customWidth="1"/>
    <col min="260" max="260" width="13.75" style="5" customWidth="1"/>
    <col min="261" max="261" width="15" style="5" customWidth="1"/>
    <col min="262" max="262" width="15.125" style="5" customWidth="1"/>
    <col min="263" max="263" width="12.25" style="5" customWidth="1"/>
    <col min="264" max="264" width="11.625" style="5" customWidth="1"/>
    <col min="265" max="265" width="11.875" style="5" customWidth="1"/>
    <col min="266" max="266" width="10.625" style="5" bestFit="1" customWidth="1"/>
    <col min="267" max="512" width="8.875" style="5"/>
    <col min="513" max="513" width="16" style="5" customWidth="1"/>
    <col min="514" max="515" width="12.125" style="5" customWidth="1"/>
    <col min="516" max="516" width="13.75" style="5" customWidth="1"/>
    <col min="517" max="517" width="15" style="5" customWidth="1"/>
    <col min="518" max="518" width="15.125" style="5" customWidth="1"/>
    <col min="519" max="519" width="12.25" style="5" customWidth="1"/>
    <col min="520" max="520" width="11.625" style="5" customWidth="1"/>
    <col min="521" max="521" width="11.875" style="5" customWidth="1"/>
    <col min="522" max="522" width="10.625" style="5" bestFit="1" customWidth="1"/>
    <col min="523" max="768" width="8.875" style="5"/>
    <col min="769" max="769" width="16" style="5" customWidth="1"/>
    <col min="770" max="771" width="12.125" style="5" customWidth="1"/>
    <col min="772" max="772" width="13.75" style="5" customWidth="1"/>
    <col min="773" max="773" width="15" style="5" customWidth="1"/>
    <col min="774" max="774" width="15.125" style="5" customWidth="1"/>
    <col min="775" max="775" width="12.25" style="5" customWidth="1"/>
    <col min="776" max="776" width="11.625" style="5" customWidth="1"/>
    <col min="777" max="777" width="11.875" style="5" customWidth="1"/>
    <col min="778" max="778" width="10.625" style="5" bestFit="1" customWidth="1"/>
    <col min="779" max="1024" width="8.875" style="5"/>
    <col min="1025" max="1025" width="16" style="5" customWidth="1"/>
    <col min="1026" max="1027" width="12.125" style="5" customWidth="1"/>
    <col min="1028" max="1028" width="13.75" style="5" customWidth="1"/>
    <col min="1029" max="1029" width="15" style="5" customWidth="1"/>
    <col min="1030" max="1030" width="15.125" style="5" customWidth="1"/>
    <col min="1031" max="1031" width="12.25" style="5" customWidth="1"/>
    <col min="1032" max="1032" width="11.625" style="5" customWidth="1"/>
    <col min="1033" max="1033" width="11.875" style="5" customWidth="1"/>
    <col min="1034" max="1034" width="10.625" style="5" bestFit="1" customWidth="1"/>
    <col min="1035" max="1280" width="8.875" style="5"/>
    <col min="1281" max="1281" width="16" style="5" customWidth="1"/>
    <col min="1282" max="1283" width="12.125" style="5" customWidth="1"/>
    <col min="1284" max="1284" width="13.75" style="5" customWidth="1"/>
    <col min="1285" max="1285" width="15" style="5" customWidth="1"/>
    <col min="1286" max="1286" width="15.125" style="5" customWidth="1"/>
    <col min="1287" max="1287" width="12.25" style="5" customWidth="1"/>
    <col min="1288" max="1288" width="11.625" style="5" customWidth="1"/>
    <col min="1289" max="1289" width="11.875" style="5" customWidth="1"/>
    <col min="1290" max="1290" width="10.625" style="5" bestFit="1" customWidth="1"/>
    <col min="1291" max="1536" width="8.875" style="5"/>
    <col min="1537" max="1537" width="16" style="5" customWidth="1"/>
    <col min="1538" max="1539" width="12.125" style="5" customWidth="1"/>
    <col min="1540" max="1540" width="13.75" style="5" customWidth="1"/>
    <col min="1541" max="1541" width="15" style="5" customWidth="1"/>
    <col min="1542" max="1542" width="15.125" style="5" customWidth="1"/>
    <col min="1543" max="1543" width="12.25" style="5" customWidth="1"/>
    <col min="1544" max="1544" width="11.625" style="5" customWidth="1"/>
    <col min="1545" max="1545" width="11.875" style="5" customWidth="1"/>
    <col min="1546" max="1546" width="10.625" style="5" bestFit="1" customWidth="1"/>
    <col min="1547" max="1792" width="8.875" style="5"/>
    <col min="1793" max="1793" width="16" style="5" customWidth="1"/>
    <col min="1794" max="1795" width="12.125" style="5" customWidth="1"/>
    <col min="1796" max="1796" width="13.75" style="5" customWidth="1"/>
    <col min="1797" max="1797" width="15" style="5" customWidth="1"/>
    <col min="1798" max="1798" width="15.125" style="5" customWidth="1"/>
    <col min="1799" max="1799" width="12.25" style="5" customWidth="1"/>
    <col min="1800" max="1800" width="11.625" style="5" customWidth="1"/>
    <col min="1801" max="1801" width="11.875" style="5" customWidth="1"/>
    <col min="1802" max="1802" width="10.625" style="5" bestFit="1" customWidth="1"/>
    <col min="1803" max="2048" width="8.875" style="5"/>
    <col min="2049" max="2049" width="16" style="5" customWidth="1"/>
    <col min="2050" max="2051" width="12.125" style="5" customWidth="1"/>
    <col min="2052" max="2052" width="13.75" style="5" customWidth="1"/>
    <col min="2053" max="2053" width="15" style="5" customWidth="1"/>
    <col min="2054" max="2054" width="15.125" style="5" customWidth="1"/>
    <col min="2055" max="2055" width="12.25" style="5" customWidth="1"/>
    <col min="2056" max="2056" width="11.625" style="5" customWidth="1"/>
    <col min="2057" max="2057" width="11.875" style="5" customWidth="1"/>
    <col min="2058" max="2058" width="10.625" style="5" bestFit="1" customWidth="1"/>
    <col min="2059" max="2304" width="8.875" style="5"/>
    <col min="2305" max="2305" width="16" style="5" customWidth="1"/>
    <col min="2306" max="2307" width="12.125" style="5" customWidth="1"/>
    <col min="2308" max="2308" width="13.75" style="5" customWidth="1"/>
    <col min="2309" max="2309" width="15" style="5" customWidth="1"/>
    <col min="2310" max="2310" width="15.125" style="5" customWidth="1"/>
    <col min="2311" max="2311" width="12.25" style="5" customWidth="1"/>
    <col min="2312" max="2312" width="11.625" style="5" customWidth="1"/>
    <col min="2313" max="2313" width="11.875" style="5" customWidth="1"/>
    <col min="2314" max="2314" width="10.625" style="5" bestFit="1" customWidth="1"/>
    <col min="2315" max="2560" width="8.875" style="5"/>
    <col min="2561" max="2561" width="16" style="5" customWidth="1"/>
    <col min="2562" max="2563" width="12.125" style="5" customWidth="1"/>
    <col min="2564" max="2564" width="13.75" style="5" customWidth="1"/>
    <col min="2565" max="2565" width="15" style="5" customWidth="1"/>
    <col min="2566" max="2566" width="15.125" style="5" customWidth="1"/>
    <col min="2567" max="2567" width="12.25" style="5" customWidth="1"/>
    <col min="2568" max="2568" width="11.625" style="5" customWidth="1"/>
    <col min="2569" max="2569" width="11.875" style="5" customWidth="1"/>
    <col min="2570" max="2570" width="10.625" style="5" bestFit="1" customWidth="1"/>
    <col min="2571" max="2816" width="8.875" style="5"/>
    <col min="2817" max="2817" width="16" style="5" customWidth="1"/>
    <col min="2818" max="2819" width="12.125" style="5" customWidth="1"/>
    <col min="2820" max="2820" width="13.75" style="5" customWidth="1"/>
    <col min="2821" max="2821" width="15" style="5" customWidth="1"/>
    <col min="2822" max="2822" width="15.125" style="5" customWidth="1"/>
    <col min="2823" max="2823" width="12.25" style="5" customWidth="1"/>
    <col min="2824" max="2824" width="11.625" style="5" customWidth="1"/>
    <col min="2825" max="2825" width="11.875" style="5" customWidth="1"/>
    <col min="2826" max="2826" width="10.625" style="5" bestFit="1" customWidth="1"/>
    <col min="2827" max="3072" width="8.875" style="5"/>
    <col min="3073" max="3073" width="16" style="5" customWidth="1"/>
    <col min="3074" max="3075" width="12.125" style="5" customWidth="1"/>
    <col min="3076" max="3076" width="13.75" style="5" customWidth="1"/>
    <col min="3077" max="3077" width="15" style="5" customWidth="1"/>
    <col min="3078" max="3078" width="15.125" style="5" customWidth="1"/>
    <col min="3079" max="3079" width="12.25" style="5" customWidth="1"/>
    <col min="3080" max="3080" width="11.625" style="5" customWidth="1"/>
    <col min="3081" max="3081" width="11.875" style="5" customWidth="1"/>
    <col min="3082" max="3082" width="10.625" style="5" bestFit="1" customWidth="1"/>
    <col min="3083" max="3328" width="8.875" style="5"/>
    <col min="3329" max="3329" width="16" style="5" customWidth="1"/>
    <col min="3330" max="3331" width="12.125" style="5" customWidth="1"/>
    <col min="3332" max="3332" width="13.75" style="5" customWidth="1"/>
    <col min="3333" max="3333" width="15" style="5" customWidth="1"/>
    <col min="3334" max="3334" width="15.125" style="5" customWidth="1"/>
    <col min="3335" max="3335" width="12.25" style="5" customWidth="1"/>
    <col min="3336" max="3336" width="11.625" style="5" customWidth="1"/>
    <col min="3337" max="3337" width="11.875" style="5" customWidth="1"/>
    <col min="3338" max="3338" width="10.625" style="5" bestFit="1" customWidth="1"/>
    <col min="3339" max="3584" width="8.875" style="5"/>
    <col min="3585" max="3585" width="16" style="5" customWidth="1"/>
    <col min="3586" max="3587" width="12.125" style="5" customWidth="1"/>
    <col min="3588" max="3588" width="13.75" style="5" customWidth="1"/>
    <col min="3589" max="3589" width="15" style="5" customWidth="1"/>
    <col min="3590" max="3590" width="15.125" style="5" customWidth="1"/>
    <col min="3591" max="3591" width="12.25" style="5" customWidth="1"/>
    <col min="3592" max="3592" width="11.625" style="5" customWidth="1"/>
    <col min="3593" max="3593" width="11.875" style="5" customWidth="1"/>
    <col min="3594" max="3594" width="10.625" style="5" bestFit="1" customWidth="1"/>
    <col min="3595" max="3840" width="8.875" style="5"/>
    <col min="3841" max="3841" width="16" style="5" customWidth="1"/>
    <col min="3842" max="3843" width="12.125" style="5" customWidth="1"/>
    <col min="3844" max="3844" width="13.75" style="5" customWidth="1"/>
    <col min="3845" max="3845" width="15" style="5" customWidth="1"/>
    <col min="3846" max="3846" width="15.125" style="5" customWidth="1"/>
    <col min="3847" max="3847" width="12.25" style="5" customWidth="1"/>
    <col min="3848" max="3848" width="11.625" style="5" customWidth="1"/>
    <col min="3849" max="3849" width="11.875" style="5" customWidth="1"/>
    <col min="3850" max="3850" width="10.625" style="5" bestFit="1" customWidth="1"/>
    <col min="3851" max="4096" width="8.875" style="5"/>
    <col min="4097" max="4097" width="16" style="5" customWidth="1"/>
    <col min="4098" max="4099" width="12.125" style="5" customWidth="1"/>
    <col min="4100" max="4100" width="13.75" style="5" customWidth="1"/>
    <col min="4101" max="4101" width="15" style="5" customWidth="1"/>
    <col min="4102" max="4102" width="15.125" style="5" customWidth="1"/>
    <col min="4103" max="4103" width="12.25" style="5" customWidth="1"/>
    <col min="4104" max="4104" width="11.625" style="5" customWidth="1"/>
    <col min="4105" max="4105" width="11.875" style="5" customWidth="1"/>
    <col min="4106" max="4106" width="10.625" style="5" bestFit="1" customWidth="1"/>
    <col min="4107" max="4352" width="8.875" style="5"/>
    <col min="4353" max="4353" width="16" style="5" customWidth="1"/>
    <col min="4354" max="4355" width="12.125" style="5" customWidth="1"/>
    <col min="4356" max="4356" width="13.75" style="5" customWidth="1"/>
    <col min="4357" max="4357" width="15" style="5" customWidth="1"/>
    <col min="4358" max="4358" width="15.125" style="5" customWidth="1"/>
    <col min="4359" max="4359" width="12.25" style="5" customWidth="1"/>
    <col min="4360" max="4360" width="11.625" style="5" customWidth="1"/>
    <col min="4361" max="4361" width="11.875" style="5" customWidth="1"/>
    <col min="4362" max="4362" width="10.625" style="5" bestFit="1" customWidth="1"/>
    <col min="4363" max="4608" width="8.875" style="5"/>
    <col min="4609" max="4609" width="16" style="5" customWidth="1"/>
    <col min="4610" max="4611" width="12.125" style="5" customWidth="1"/>
    <col min="4612" max="4612" width="13.75" style="5" customWidth="1"/>
    <col min="4613" max="4613" width="15" style="5" customWidth="1"/>
    <col min="4614" max="4614" width="15.125" style="5" customWidth="1"/>
    <col min="4615" max="4615" width="12.25" style="5" customWidth="1"/>
    <col min="4616" max="4616" width="11.625" style="5" customWidth="1"/>
    <col min="4617" max="4617" width="11.875" style="5" customWidth="1"/>
    <col min="4618" max="4618" width="10.625" style="5" bestFit="1" customWidth="1"/>
    <col min="4619" max="4864" width="8.875" style="5"/>
    <col min="4865" max="4865" width="16" style="5" customWidth="1"/>
    <col min="4866" max="4867" width="12.125" style="5" customWidth="1"/>
    <col min="4868" max="4868" width="13.75" style="5" customWidth="1"/>
    <col min="4869" max="4869" width="15" style="5" customWidth="1"/>
    <col min="4870" max="4870" width="15.125" style="5" customWidth="1"/>
    <col min="4871" max="4871" width="12.25" style="5" customWidth="1"/>
    <col min="4872" max="4872" width="11.625" style="5" customWidth="1"/>
    <col min="4873" max="4873" width="11.875" style="5" customWidth="1"/>
    <col min="4874" max="4874" width="10.625" style="5" bestFit="1" customWidth="1"/>
    <col min="4875" max="5120" width="8.875" style="5"/>
    <col min="5121" max="5121" width="16" style="5" customWidth="1"/>
    <col min="5122" max="5123" width="12.125" style="5" customWidth="1"/>
    <col min="5124" max="5124" width="13.75" style="5" customWidth="1"/>
    <col min="5125" max="5125" width="15" style="5" customWidth="1"/>
    <col min="5126" max="5126" width="15.125" style="5" customWidth="1"/>
    <col min="5127" max="5127" width="12.25" style="5" customWidth="1"/>
    <col min="5128" max="5128" width="11.625" style="5" customWidth="1"/>
    <col min="5129" max="5129" width="11.875" style="5" customWidth="1"/>
    <col min="5130" max="5130" width="10.625" style="5" bestFit="1" customWidth="1"/>
    <col min="5131" max="5376" width="8.875" style="5"/>
    <col min="5377" max="5377" width="16" style="5" customWidth="1"/>
    <col min="5378" max="5379" width="12.125" style="5" customWidth="1"/>
    <col min="5380" max="5380" width="13.75" style="5" customWidth="1"/>
    <col min="5381" max="5381" width="15" style="5" customWidth="1"/>
    <col min="5382" max="5382" width="15.125" style="5" customWidth="1"/>
    <col min="5383" max="5383" width="12.25" style="5" customWidth="1"/>
    <col min="5384" max="5384" width="11.625" style="5" customWidth="1"/>
    <col min="5385" max="5385" width="11.875" style="5" customWidth="1"/>
    <col min="5386" max="5386" width="10.625" style="5" bestFit="1" customWidth="1"/>
    <col min="5387" max="5632" width="8.875" style="5"/>
    <col min="5633" max="5633" width="16" style="5" customWidth="1"/>
    <col min="5634" max="5635" width="12.125" style="5" customWidth="1"/>
    <col min="5636" max="5636" width="13.75" style="5" customWidth="1"/>
    <col min="5637" max="5637" width="15" style="5" customWidth="1"/>
    <col min="5638" max="5638" width="15.125" style="5" customWidth="1"/>
    <col min="5639" max="5639" width="12.25" style="5" customWidth="1"/>
    <col min="5640" max="5640" width="11.625" style="5" customWidth="1"/>
    <col min="5641" max="5641" width="11.875" style="5" customWidth="1"/>
    <col min="5642" max="5642" width="10.625" style="5" bestFit="1" customWidth="1"/>
    <col min="5643" max="5888" width="8.875" style="5"/>
    <col min="5889" max="5889" width="16" style="5" customWidth="1"/>
    <col min="5890" max="5891" width="12.125" style="5" customWidth="1"/>
    <col min="5892" max="5892" width="13.75" style="5" customWidth="1"/>
    <col min="5893" max="5893" width="15" style="5" customWidth="1"/>
    <col min="5894" max="5894" width="15.125" style="5" customWidth="1"/>
    <col min="5895" max="5895" width="12.25" style="5" customWidth="1"/>
    <col min="5896" max="5896" width="11.625" style="5" customWidth="1"/>
    <col min="5897" max="5897" width="11.875" style="5" customWidth="1"/>
    <col min="5898" max="5898" width="10.625" style="5" bestFit="1" customWidth="1"/>
    <col min="5899" max="6144" width="8.875" style="5"/>
    <col min="6145" max="6145" width="16" style="5" customWidth="1"/>
    <col min="6146" max="6147" width="12.125" style="5" customWidth="1"/>
    <col min="6148" max="6148" width="13.75" style="5" customWidth="1"/>
    <col min="6149" max="6149" width="15" style="5" customWidth="1"/>
    <col min="6150" max="6150" width="15.125" style="5" customWidth="1"/>
    <col min="6151" max="6151" width="12.25" style="5" customWidth="1"/>
    <col min="6152" max="6152" width="11.625" style="5" customWidth="1"/>
    <col min="6153" max="6153" width="11.875" style="5" customWidth="1"/>
    <col min="6154" max="6154" width="10.625" style="5" bestFit="1" customWidth="1"/>
    <col min="6155" max="6400" width="8.875" style="5"/>
    <col min="6401" max="6401" width="16" style="5" customWidth="1"/>
    <col min="6402" max="6403" width="12.125" style="5" customWidth="1"/>
    <col min="6404" max="6404" width="13.75" style="5" customWidth="1"/>
    <col min="6405" max="6405" width="15" style="5" customWidth="1"/>
    <col min="6406" max="6406" width="15.125" style="5" customWidth="1"/>
    <col min="6407" max="6407" width="12.25" style="5" customWidth="1"/>
    <col min="6408" max="6408" width="11.625" style="5" customWidth="1"/>
    <col min="6409" max="6409" width="11.875" style="5" customWidth="1"/>
    <col min="6410" max="6410" width="10.625" style="5" bestFit="1" customWidth="1"/>
    <col min="6411" max="6656" width="8.875" style="5"/>
    <col min="6657" max="6657" width="16" style="5" customWidth="1"/>
    <col min="6658" max="6659" width="12.125" style="5" customWidth="1"/>
    <col min="6660" max="6660" width="13.75" style="5" customWidth="1"/>
    <col min="6661" max="6661" width="15" style="5" customWidth="1"/>
    <col min="6662" max="6662" width="15.125" style="5" customWidth="1"/>
    <col min="6663" max="6663" width="12.25" style="5" customWidth="1"/>
    <col min="6664" max="6664" width="11.625" style="5" customWidth="1"/>
    <col min="6665" max="6665" width="11.875" style="5" customWidth="1"/>
    <col min="6666" max="6666" width="10.625" style="5" bestFit="1" customWidth="1"/>
    <col min="6667" max="6912" width="8.875" style="5"/>
    <col min="6913" max="6913" width="16" style="5" customWidth="1"/>
    <col min="6914" max="6915" width="12.125" style="5" customWidth="1"/>
    <col min="6916" max="6916" width="13.75" style="5" customWidth="1"/>
    <col min="6917" max="6917" width="15" style="5" customWidth="1"/>
    <col min="6918" max="6918" width="15.125" style="5" customWidth="1"/>
    <col min="6919" max="6919" width="12.25" style="5" customWidth="1"/>
    <col min="6920" max="6920" width="11.625" style="5" customWidth="1"/>
    <col min="6921" max="6921" width="11.875" style="5" customWidth="1"/>
    <col min="6922" max="6922" width="10.625" style="5" bestFit="1" customWidth="1"/>
    <col min="6923" max="7168" width="8.875" style="5"/>
    <col min="7169" max="7169" width="16" style="5" customWidth="1"/>
    <col min="7170" max="7171" width="12.125" style="5" customWidth="1"/>
    <col min="7172" max="7172" width="13.75" style="5" customWidth="1"/>
    <col min="7173" max="7173" width="15" style="5" customWidth="1"/>
    <col min="7174" max="7174" width="15.125" style="5" customWidth="1"/>
    <col min="7175" max="7175" width="12.25" style="5" customWidth="1"/>
    <col min="7176" max="7176" width="11.625" style="5" customWidth="1"/>
    <col min="7177" max="7177" width="11.875" style="5" customWidth="1"/>
    <col min="7178" max="7178" width="10.625" style="5" bestFit="1" customWidth="1"/>
    <col min="7179" max="7424" width="8.875" style="5"/>
    <col min="7425" max="7425" width="16" style="5" customWidth="1"/>
    <col min="7426" max="7427" width="12.125" style="5" customWidth="1"/>
    <col min="7428" max="7428" width="13.75" style="5" customWidth="1"/>
    <col min="7429" max="7429" width="15" style="5" customWidth="1"/>
    <col min="7430" max="7430" width="15.125" style="5" customWidth="1"/>
    <col min="7431" max="7431" width="12.25" style="5" customWidth="1"/>
    <col min="7432" max="7432" width="11.625" style="5" customWidth="1"/>
    <col min="7433" max="7433" width="11.875" style="5" customWidth="1"/>
    <col min="7434" max="7434" width="10.625" style="5" bestFit="1" customWidth="1"/>
    <col min="7435" max="7680" width="8.875" style="5"/>
    <col min="7681" max="7681" width="16" style="5" customWidth="1"/>
    <col min="7682" max="7683" width="12.125" style="5" customWidth="1"/>
    <col min="7684" max="7684" width="13.75" style="5" customWidth="1"/>
    <col min="7685" max="7685" width="15" style="5" customWidth="1"/>
    <col min="7686" max="7686" width="15.125" style="5" customWidth="1"/>
    <col min="7687" max="7687" width="12.25" style="5" customWidth="1"/>
    <col min="7688" max="7688" width="11.625" style="5" customWidth="1"/>
    <col min="7689" max="7689" width="11.875" style="5" customWidth="1"/>
    <col min="7690" max="7690" width="10.625" style="5" bestFit="1" customWidth="1"/>
    <col min="7691" max="7936" width="8.875" style="5"/>
    <col min="7937" max="7937" width="16" style="5" customWidth="1"/>
    <col min="7938" max="7939" width="12.125" style="5" customWidth="1"/>
    <col min="7940" max="7940" width="13.75" style="5" customWidth="1"/>
    <col min="7941" max="7941" width="15" style="5" customWidth="1"/>
    <col min="7942" max="7942" width="15.125" style="5" customWidth="1"/>
    <col min="7943" max="7943" width="12.25" style="5" customWidth="1"/>
    <col min="7944" max="7944" width="11.625" style="5" customWidth="1"/>
    <col min="7945" max="7945" width="11.875" style="5" customWidth="1"/>
    <col min="7946" max="7946" width="10.625" style="5" bestFit="1" customWidth="1"/>
    <col min="7947" max="8192" width="8.875" style="5"/>
    <col min="8193" max="8193" width="16" style="5" customWidth="1"/>
    <col min="8194" max="8195" width="12.125" style="5" customWidth="1"/>
    <col min="8196" max="8196" width="13.75" style="5" customWidth="1"/>
    <col min="8197" max="8197" width="15" style="5" customWidth="1"/>
    <col min="8198" max="8198" width="15.125" style="5" customWidth="1"/>
    <col min="8199" max="8199" width="12.25" style="5" customWidth="1"/>
    <col min="8200" max="8200" width="11.625" style="5" customWidth="1"/>
    <col min="8201" max="8201" width="11.875" style="5" customWidth="1"/>
    <col min="8202" max="8202" width="10.625" style="5" bestFit="1" customWidth="1"/>
    <col min="8203" max="8448" width="8.875" style="5"/>
    <col min="8449" max="8449" width="16" style="5" customWidth="1"/>
    <col min="8450" max="8451" width="12.125" style="5" customWidth="1"/>
    <col min="8452" max="8452" width="13.75" style="5" customWidth="1"/>
    <col min="8453" max="8453" width="15" style="5" customWidth="1"/>
    <col min="8454" max="8454" width="15.125" style="5" customWidth="1"/>
    <col min="8455" max="8455" width="12.25" style="5" customWidth="1"/>
    <col min="8456" max="8456" width="11.625" style="5" customWidth="1"/>
    <col min="8457" max="8457" width="11.875" style="5" customWidth="1"/>
    <col min="8458" max="8458" width="10.625" style="5" bestFit="1" customWidth="1"/>
    <col min="8459" max="8704" width="8.875" style="5"/>
    <col min="8705" max="8705" width="16" style="5" customWidth="1"/>
    <col min="8706" max="8707" width="12.125" style="5" customWidth="1"/>
    <col min="8708" max="8708" width="13.75" style="5" customWidth="1"/>
    <col min="8709" max="8709" width="15" style="5" customWidth="1"/>
    <col min="8710" max="8710" width="15.125" style="5" customWidth="1"/>
    <col min="8711" max="8711" width="12.25" style="5" customWidth="1"/>
    <col min="8712" max="8712" width="11.625" style="5" customWidth="1"/>
    <col min="8713" max="8713" width="11.875" style="5" customWidth="1"/>
    <col min="8714" max="8714" width="10.625" style="5" bestFit="1" customWidth="1"/>
    <col min="8715" max="8960" width="8.875" style="5"/>
    <col min="8961" max="8961" width="16" style="5" customWidth="1"/>
    <col min="8962" max="8963" width="12.125" style="5" customWidth="1"/>
    <col min="8964" max="8964" width="13.75" style="5" customWidth="1"/>
    <col min="8965" max="8965" width="15" style="5" customWidth="1"/>
    <col min="8966" max="8966" width="15.125" style="5" customWidth="1"/>
    <col min="8967" max="8967" width="12.25" style="5" customWidth="1"/>
    <col min="8968" max="8968" width="11.625" style="5" customWidth="1"/>
    <col min="8969" max="8969" width="11.875" style="5" customWidth="1"/>
    <col min="8970" max="8970" width="10.625" style="5" bestFit="1" customWidth="1"/>
    <col min="8971" max="9216" width="8.875" style="5"/>
    <col min="9217" max="9217" width="16" style="5" customWidth="1"/>
    <col min="9218" max="9219" width="12.125" style="5" customWidth="1"/>
    <col min="9220" max="9220" width="13.75" style="5" customWidth="1"/>
    <col min="9221" max="9221" width="15" style="5" customWidth="1"/>
    <col min="9222" max="9222" width="15.125" style="5" customWidth="1"/>
    <col min="9223" max="9223" width="12.25" style="5" customWidth="1"/>
    <col min="9224" max="9224" width="11.625" style="5" customWidth="1"/>
    <col min="9225" max="9225" width="11.875" style="5" customWidth="1"/>
    <col min="9226" max="9226" width="10.625" style="5" bestFit="1" customWidth="1"/>
    <col min="9227" max="9472" width="8.875" style="5"/>
    <col min="9473" max="9473" width="16" style="5" customWidth="1"/>
    <col min="9474" max="9475" width="12.125" style="5" customWidth="1"/>
    <col min="9476" max="9476" width="13.75" style="5" customWidth="1"/>
    <col min="9477" max="9477" width="15" style="5" customWidth="1"/>
    <col min="9478" max="9478" width="15.125" style="5" customWidth="1"/>
    <col min="9479" max="9479" width="12.25" style="5" customWidth="1"/>
    <col min="9480" max="9480" width="11.625" style="5" customWidth="1"/>
    <col min="9481" max="9481" width="11.875" style="5" customWidth="1"/>
    <col min="9482" max="9482" width="10.625" style="5" bestFit="1" customWidth="1"/>
    <col min="9483" max="9728" width="8.875" style="5"/>
    <col min="9729" max="9729" width="16" style="5" customWidth="1"/>
    <col min="9730" max="9731" width="12.125" style="5" customWidth="1"/>
    <col min="9732" max="9732" width="13.75" style="5" customWidth="1"/>
    <col min="9733" max="9733" width="15" style="5" customWidth="1"/>
    <col min="9734" max="9734" width="15.125" style="5" customWidth="1"/>
    <col min="9735" max="9735" width="12.25" style="5" customWidth="1"/>
    <col min="9736" max="9736" width="11.625" style="5" customWidth="1"/>
    <col min="9737" max="9737" width="11.875" style="5" customWidth="1"/>
    <col min="9738" max="9738" width="10.625" style="5" bestFit="1" customWidth="1"/>
    <col min="9739" max="9984" width="8.875" style="5"/>
    <col min="9985" max="9985" width="16" style="5" customWidth="1"/>
    <col min="9986" max="9987" width="12.125" style="5" customWidth="1"/>
    <col min="9988" max="9988" width="13.75" style="5" customWidth="1"/>
    <col min="9989" max="9989" width="15" style="5" customWidth="1"/>
    <col min="9990" max="9990" width="15.125" style="5" customWidth="1"/>
    <col min="9991" max="9991" width="12.25" style="5" customWidth="1"/>
    <col min="9992" max="9992" width="11.625" style="5" customWidth="1"/>
    <col min="9993" max="9993" width="11.875" style="5" customWidth="1"/>
    <col min="9994" max="9994" width="10.625" style="5" bestFit="1" customWidth="1"/>
    <col min="9995" max="10240" width="8.875" style="5"/>
    <col min="10241" max="10241" width="16" style="5" customWidth="1"/>
    <col min="10242" max="10243" width="12.125" style="5" customWidth="1"/>
    <col min="10244" max="10244" width="13.75" style="5" customWidth="1"/>
    <col min="10245" max="10245" width="15" style="5" customWidth="1"/>
    <col min="10246" max="10246" width="15.125" style="5" customWidth="1"/>
    <col min="10247" max="10247" width="12.25" style="5" customWidth="1"/>
    <col min="10248" max="10248" width="11.625" style="5" customWidth="1"/>
    <col min="10249" max="10249" width="11.875" style="5" customWidth="1"/>
    <col min="10250" max="10250" width="10.625" style="5" bestFit="1" customWidth="1"/>
    <col min="10251" max="10496" width="8.875" style="5"/>
    <col min="10497" max="10497" width="16" style="5" customWidth="1"/>
    <col min="10498" max="10499" width="12.125" style="5" customWidth="1"/>
    <col min="10500" max="10500" width="13.75" style="5" customWidth="1"/>
    <col min="10501" max="10501" width="15" style="5" customWidth="1"/>
    <col min="10502" max="10502" width="15.125" style="5" customWidth="1"/>
    <col min="10503" max="10503" width="12.25" style="5" customWidth="1"/>
    <col min="10504" max="10504" width="11.625" style="5" customWidth="1"/>
    <col min="10505" max="10505" width="11.875" style="5" customWidth="1"/>
    <col min="10506" max="10506" width="10.625" style="5" bestFit="1" customWidth="1"/>
    <col min="10507" max="10752" width="8.875" style="5"/>
    <col min="10753" max="10753" width="16" style="5" customWidth="1"/>
    <col min="10754" max="10755" width="12.125" style="5" customWidth="1"/>
    <col min="10756" max="10756" width="13.75" style="5" customWidth="1"/>
    <col min="10757" max="10757" width="15" style="5" customWidth="1"/>
    <col min="10758" max="10758" width="15.125" style="5" customWidth="1"/>
    <col min="10759" max="10759" width="12.25" style="5" customWidth="1"/>
    <col min="10760" max="10760" width="11.625" style="5" customWidth="1"/>
    <col min="10761" max="10761" width="11.875" style="5" customWidth="1"/>
    <col min="10762" max="10762" width="10.625" style="5" bestFit="1" customWidth="1"/>
    <col min="10763" max="11008" width="8.875" style="5"/>
    <col min="11009" max="11009" width="16" style="5" customWidth="1"/>
    <col min="11010" max="11011" width="12.125" style="5" customWidth="1"/>
    <col min="11012" max="11012" width="13.75" style="5" customWidth="1"/>
    <col min="11013" max="11013" width="15" style="5" customWidth="1"/>
    <col min="11014" max="11014" width="15.125" style="5" customWidth="1"/>
    <col min="11015" max="11015" width="12.25" style="5" customWidth="1"/>
    <col min="11016" max="11016" width="11.625" style="5" customWidth="1"/>
    <col min="11017" max="11017" width="11.875" style="5" customWidth="1"/>
    <col min="11018" max="11018" width="10.625" style="5" bestFit="1" customWidth="1"/>
    <col min="11019" max="11264" width="8.875" style="5"/>
    <col min="11265" max="11265" width="16" style="5" customWidth="1"/>
    <col min="11266" max="11267" width="12.125" style="5" customWidth="1"/>
    <col min="11268" max="11268" width="13.75" style="5" customWidth="1"/>
    <col min="11269" max="11269" width="15" style="5" customWidth="1"/>
    <col min="11270" max="11270" width="15.125" style="5" customWidth="1"/>
    <col min="11271" max="11271" width="12.25" style="5" customWidth="1"/>
    <col min="11272" max="11272" width="11.625" style="5" customWidth="1"/>
    <col min="11273" max="11273" width="11.875" style="5" customWidth="1"/>
    <col min="11274" max="11274" width="10.625" style="5" bestFit="1" customWidth="1"/>
    <col min="11275" max="11520" width="8.875" style="5"/>
    <col min="11521" max="11521" width="16" style="5" customWidth="1"/>
    <col min="11522" max="11523" width="12.125" style="5" customWidth="1"/>
    <col min="11524" max="11524" width="13.75" style="5" customWidth="1"/>
    <col min="11525" max="11525" width="15" style="5" customWidth="1"/>
    <col min="11526" max="11526" width="15.125" style="5" customWidth="1"/>
    <col min="11527" max="11527" width="12.25" style="5" customWidth="1"/>
    <col min="11528" max="11528" width="11.625" style="5" customWidth="1"/>
    <col min="11529" max="11529" width="11.875" style="5" customWidth="1"/>
    <col min="11530" max="11530" width="10.625" style="5" bestFit="1" customWidth="1"/>
    <col min="11531" max="11776" width="8.875" style="5"/>
    <col min="11777" max="11777" width="16" style="5" customWidth="1"/>
    <col min="11778" max="11779" width="12.125" style="5" customWidth="1"/>
    <col min="11780" max="11780" width="13.75" style="5" customWidth="1"/>
    <col min="11781" max="11781" width="15" style="5" customWidth="1"/>
    <col min="11782" max="11782" width="15.125" style="5" customWidth="1"/>
    <col min="11783" max="11783" width="12.25" style="5" customWidth="1"/>
    <col min="11784" max="11784" width="11.625" style="5" customWidth="1"/>
    <col min="11785" max="11785" width="11.875" style="5" customWidth="1"/>
    <col min="11786" max="11786" width="10.625" style="5" bestFit="1" customWidth="1"/>
    <col min="11787" max="12032" width="8.875" style="5"/>
    <col min="12033" max="12033" width="16" style="5" customWidth="1"/>
    <col min="12034" max="12035" width="12.125" style="5" customWidth="1"/>
    <col min="12036" max="12036" width="13.75" style="5" customWidth="1"/>
    <col min="12037" max="12037" width="15" style="5" customWidth="1"/>
    <col min="12038" max="12038" width="15.125" style="5" customWidth="1"/>
    <col min="12039" max="12039" width="12.25" style="5" customWidth="1"/>
    <col min="12040" max="12040" width="11.625" style="5" customWidth="1"/>
    <col min="12041" max="12041" width="11.875" style="5" customWidth="1"/>
    <col min="12042" max="12042" width="10.625" style="5" bestFit="1" customWidth="1"/>
    <col min="12043" max="12288" width="8.875" style="5"/>
    <col min="12289" max="12289" width="16" style="5" customWidth="1"/>
    <col min="12290" max="12291" width="12.125" style="5" customWidth="1"/>
    <col min="12292" max="12292" width="13.75" style="5" customWidth="1"/>
    <col min="12293" max="12293" width="15" style="5" customWidth="1"/>
    <col min="12294" max="12294" width="15.125" style="5" customWidth="1"/>
    <col min="12295" max="12295" width="12.25" style="5" customWidth="1"/>
    <col min="12296" max="12296" width="11.625" style="5" customWidth="1"/>
    <col min="12297" max="12297" width="11.875" style="5" customWidth="1"/>
    <col min="12298" max="12298" width="10.625" style="5" bestFit="1" customWidth="1"/>
    <col min="12299" max="12544" width="8.875" style="5"/>
    <col min="12545" max="12545" width="16" style="5" customWidth="1"/>
    <col min="12546" max="12547" width="12.125" style="5" customWidth="1"/>
    <col min="12548" max="12548" width="13.75" style="5" customWidth="1"/>
    <col min="12549" max="12549" width="15" style="5" customWidth="1"/>
    <col min="12550" max="12550" width="15.125" style="5" customWidth="1"/>
    <col min="12551" max="12551" width="12.25" style="5" customWidth="1"/>
    <col min="12552" max="12552" width="11.625" style="5" customWidth="1"/>
    <col min="12553" max="12553" width="11.875" style="5" customWidth="1"/>
    <col min="12554" max="12554" width="10.625" style="5" bestFit="1" customWidth="1"/>
    <col min="12555" max="12800" width="8.875" style="5"/>
    <col min="12801" max="12801" width="16" style="5" customWidth="1"/>
    <col min="12802" max="12803" width="12.125" style="5" customWidth="1"/>
    <col min="12804" max="12804" width="13.75" style="5" customWidth="1"/>
    <col min="12805" max="12805" width="15" style="5" customWidth="1"/>
    <col min="12806" max="12806" width="15.125" style="5" customWidth="1"/>
    <col min="12807" max="12807" width="12.25" style="5" customWidth="1"/>
    <col min="12808" max="12808" width="11.625" style="5" customWidth="1"/>
    <col min="12809" max="12809" width="11.875" style="5" customWidth="1"/>
    <col min="12810" max="12810" width="10.625" style="5" bestFit="1" customWidth="1"/>
    <col min="12811" max="13056" width="8.875" style="5"/>
    <col min="13057" max="13057" width="16" style="5" customWidth="1"/>
    <col min="13058" max="13059" width="12.125" style="5" customWidth="1"/>
    <col min="13060" max="13060" width="13.75" style="5" customWidth="1"/>
    <col min="13061" max="13061" width="15" style="5" customWidth="1"/>
    <col min="13062" max="13062" width="15.125" style="5" customWidth="1"/>
    <col min="13063" max="13063" width="12.25" style="5" customWidth="1"/>
    <col min="13064" max="13064" width="11.625" style="5" customWidth="1"/>
    <col min="13065" max="13065" width="11.875" style="5" customWidth="1"/>
    <col min="13066" max="13066" width="10.625" style="5" bestFit="1" customWidth="1"/>
    <col min="13067" max="13312" width="8.875" style="5"/>
    <col min="13313" max="13313" width="16" style="5" customWidth="1"/>
    <col min="13314" max="13315" width="12.125" style="5" customWidth="1"/>
    <col min="13316" max="13316" width="13.75" style="5" customWidth="1"/>
    <col min="13317" max="13317" width="15" style="5" customWidth="1"/>
    <col min="13318" max="13318" width="15.125" style="5" customWidth="1"/>
    <col min="13319" max="13319" width="12.25" style="5" customWidth="1"/>
    <col min="13320" max="13320" width="11.625" style="5" customWidth="1"/>
    <col min="13321" max="13321" width="11.875" style="5" customWidth="1"/>
    <col min="13322" max="13322" width="10.625" style="5" bestFit="1" customWidth="1"/>
    <col min="13323" max="13568" width="8.875" style="5"/>
    <col min="13569" max="13569" width="16" style="5" customWidth="1"/>
    <col min="13570" max="13571" width="12.125" style="5" customWidth="1"/>
    <col min="13572" max="13572" width="13.75" style="5" customWidth="1"/>
    <col min="13573" max="13573" width="15" style="5" customWidth="1"/>
    <col min="13574" max="13574" width="15.125" style="5" customWidth="1"/>
    <col min="13575" max="13575" width="12.25" style="5" customWidth="1"/>
    <col min="13576" max="13576" width="11.625" style="5" customWidth="1"/>
    <col min="13577" max="13577" width="11.875" style="5" customWidth="1"/>
    <col min="13578" max="13578" width="10.625" style="5" bestFit="1" customWidth="1"/>
    <col min="13579" max="13824" width="8.875" style="5"/>
    <col min="13825" max="13825" width="16" style="5" customWidth="1"/>
    <col min="13826" max="13827" width="12.125" style="5" customWidth="1"/>
    <col min="13828" max="13828" width="13.75" style="5" customWidth="1"/>
    <col min="13829" max="13829" width="15" style="5" customWidth="1"/>
    <col min="13830" max="13830" width="15.125" style="5" customWidth="1"/>
    <col min="13831" max="13831" width="12.25" style="5" customWidth="1"/>
    <col min="13832" max="13832" width="11.625" style="5" customWidth="1"/>
    <col min="13833" max="13833" width="11.875" style="5" customWidth="1"/>
    <col min="13834" max="13834" width="10.625" style="5" bestFit="1" customWidth="1"/>
    <col min="13835" max="14080" width="8.875" style="5"/>
    <col min="14081" max="14081" width="16" style="5" customWidth="1"/>
    <col min="14082" max="14083" width="12.125" style="5" customWidth="1"/>
    <col min="14084" max="14084" width="13.75" style="5" customWidth="1"/>
    <col min="14085" max="14085" width="15" style="5" customWidth="1"/>
    <col min="14086" max="14086" width="15.125" style="5" customWidth="1"/>
    <col min="14087" max="14087" width="12.25" style="5" customWidth="1"/>
    <col min="14088" max="14088" width="11.625" style="5" customWidth="1"/>
    <col min="14089" max="14089" width="11.875" style="5" customWidth="1"/>
    <col min="14090" max="14090" width="10.625" style="5" bestFit="1" customWidth="1"/>
    <col min="14091" max="14336" width="8.875" style="5"/>
    <col min="14337" max="14337" width="16" style="5" customWidth="1"/>
    <col min="14338" max="14339" width="12.125" style="5" customWidth="1"/>
    <col min="14340" max="14340" width="13.75" style="5" customWidth="1"/>
    <col min="14341" max="14341" width="15" style="5" customWidth="1"/>
    <col min="14342" max="14342" width="15.125" style="5" customWidth="1"/>
    <col min="14343" max="14343" width="12.25" style="5" customWidth="1"/>
    <col min="14344" max="14344" width="11.625" style="5" customWidth="1"/>
    <col min="14345" max="14345" width="11.875" style="5" customWidth="1"/>
    <col min="14346" max="14346" width="10.625" style="5" bestFit="1" customWidth="1"/>
    <col min="14347" max="14592" width="8.875" style="5"/>
    <col min="14593" max="14593" width="16" style="5" customWidth="1"/>
    <col min="14594" max="14595" width="12.125" style="5" customWidth="1"/>
    <col min="14596" max="14596" width="13.75" style="5" customWidth="1"/>
    <col min="14597" max="14597" width="15" style="5" customWidth="1"/>
    <col min="14598" max="14598" width="15.125" style="5" customWidth="1"/>
    <col min="14599" max="14599" width="12.25" style="5" customWidth="1"/>
    <col min="14600" max="14600" width="11.625" style="5" customWidth="1"/>
    <col min="14601" max="14601" width="11.875" style="5" customWidth="1"/>
    <col min="14602" max="14602" width="10.625" style="5" bestFit="1" customWidth="1"/>
    <col min="14603" max="14848" width="8.875" style="5"/>
    <col min="14849" max="14849" width="16" style="5" customWidth="1"/>
    <col min="14850" max="14851" width="12.125" style="5" customWidth="1"/>
    <col min="14852" max="14852" width="13.75" style="5" customWidth="1"/>
    <col min="14853" max="14853" width="15" style="5" customWidth="1"/>
    <col min="14854" max="14854" width="15.125" style="5" customWidth="1"/>
    <col min="14855" max="14855" width="12.25" style="5" customWidth="1"/>
    <col min="14856" max="14856" width="11.625" style="5" customWidth="1"/>
    <col min="14857" max="14857" width="11.875" style="5" customWidth="1"/>
    <col min="14858" max="14858" width="10.625" style="5" bestFit="1" customWidth="1"/>
    <col min="14859" max="15104" width="8.875" style="5"/>
    <col min="15105" max="15105" width="16" style="5" customWidth="1"/>
    <col min="15106" max="15107" width="12.125" style="5" customWidth="1"/>
    <col min="15108" max="15108" width="13.75" style="5" customWidth="1"/>
    <col min="15109" max="15109" width="15" style="5" customWidth="1"/>
    <col min="15110" max="15110" width="15.125" style="5" customWidth="1"/>
    <col min="15111" max="15111" width="12.25" style="5" customWidth="1"/>
    <col min="15112" max="15112" width="11.625" style="5" customWidth="1"/>
    <col min="15113" max="15113" width="11.875" style="5" customWidth="1"/>
    <col min="15114" max="15114" width="10.625" style="5" bestFit="1" customWidth="1"/>
    <col min="15115" max="15360" width="8.875" style="5"/>
    <col min="15361" max="15361" width="16" style="5" customWidth="1"/>
    <col min="15362" max="15363" width="12.125" style="5" customWidth="1"/>
    <col min="15364" max="15364" width="13.75" style="5" customWidth="1"/>
    <col min="15365" max="15365" width="15" style="5" customWidth="1"/>
    <col min="15366" max="15366" width="15.125" style="5" customWidth="1"/>
    <col min="15367" max="15367" width="12.25" style="5" customWidth="1"/>
    <col min="15368" max="15368" width="11.625" style="5" customWidth="1"/>
    <col min="15369" max="15369" width="11.875" style="5" customWidth="1"/>
    <col min="15370" max="15370" width="10.625" style="5" bestFit="1" customWidth="1"/>
    <col min="15371" max="15616" width="8.875" style="5"/>
    <col min="15617" max="15617" width="16" style="5" customWidth="1"/>
    <col min="15618" max="15619" width="12.125" style="5" customWidth="1"/>
    <col min="15620" max="15620" width="13.75" style="5" customWidth="1"/>
    <col min="15621" max="15621" width="15" style="5" customWidth="1"/>
    <col min="15622" max="15622" width="15.125" style="5" customWidth="1"/>
    <col min="15623" max="15623" width="12.25" style="5" customWidth="1"/>
    <col min="15624" max="15624" width="11.625" style="5" customWidth="1"/>
    <col min="15625" max="15625" width="11.875" style="5" customWidth="1"/>
    <col min="15626" max="15626" width="10.625" style="5" bestFit="1" customWidth="1"/>
    <col min="15627" max="15872" width="8.875" style="5"/>
    <col min="15873" max="15873" width="16" style="5" customWidth="1"/>
    <col min="15874" max="15875" width="12.125" style="5" customWidth="1"/>
    <col min="15876" max="15876" width="13.75" style="5" customWidth="1"/>
    <col min="15877" max="15877" width="15" style="5" customWidth="1"/>
    <col min="15878" max="15878" width="15.125" style="5" customWidth="1"/>
    <col min="15879" max="15879" width="12.25" style="5" customWidth="1"/>
    <col min="15880" max="15880" width="11.625" style="5" customWidth="1"/>
    <col min="15881" max="15881" width="11.875" style="5" customWidth="1"/>
    <col min="15882" max="15882" width="10.625" style="5" bestFit="1" customWidth="1"/>
    <col min="15883" max="16128" width="8.875" style="5"/>
    <col min="16129" max="16129" width="16" style="5" customWidth="1"/>
    <col min="16130" max="16131" width="12.125" style="5" customWidth="1"/>
    <col min="16132" max="16132" width="13.75" style="5" customWidth="1"/>
    <col min="16133" max="16133" width="15" style="5" customWidth="1"/>
    <col min="16134" max="16134" width="15.125" style="5" customWidth="1"/>
    <col min="16135" max="16135" width="12.25" style="5" customWidth="1"/>
    <col min="16136" max="16136" width="11.625" style="5" customWidth="1"/>
    <col min="16137" max="16137" width="11.875" style="5" customWidth="1"/>
    <col min="16138" max="16138" width="10.625" style="5" bestFit="1" customWidth="1"/>
    <col min="16139" max="16384" width="8.875" style="5"/>
  </cols>
  <sheetData>
    <row r="1" spans="1:10" ht="19.5">
      <c r="A1" s="558" t="s">
        <v>484</v>
      </c>
      <c r="B1" s="558"/>
      <c r="C1" s="558"/>
      <c r="D1" s="558"/>
      <c r="E1" s="558"/>
      <c r="F1" s="558"/>
      <c r="G1" s="558"/>
      <c r="H1" s="558"/>
      <c r="I1" s="558"/>
      <c r="J1" s="558"/>
    </row>
    <row r="2" spans="1:10">
      <c r="G2" s="61"/>
    </row>
    <row r="3" spans="1:10">
      <c r="A3" s="62" t="s">
        <v>107</v>
      </c>
      <c r="B3" s="63"/>
      <c r="C3" s="64"/>
      <c r="D3" s="65"/>
      <c r="E3" s="63"/>
      <c r="F3" s="66"/>
      <c r="G3" s="67"/>
      <c r="H3" s="68"/>
      <c r="I3" s="68"/>
      <c r="J3" s="69"/>
    </row>
    <row r="4" spans="1:10">
      <c r="A4" s="70" t="s">
        <v>485</v>
      </c>
      <c r="B4" s="8" t="s">
        <v>421</v>
      </c>
      <c r="C4" s="71" t="s">
        <v>513</v>
      </c>
      <c r="D4" s="72" t="s">
        <v>159</v>
      </c>
      <c r="E4" s="8" t="s">
        <v>421</v>
      </c>
      <c r="F4" s="71" t="s">
        <v>422</v>
      </c>
      <c r="G4" s="74" t="s">
        <v>160</v>
      </c>
      <c r="H4" s="8" t="s">
        <v>421</v>
      </c>
      <c r="I4" s="71" t="s">
        <v>422</v>
      </c>
      <c r="J4" s="75" t="s">
        <v>160</v>
      </c>
    </row>
    <row r="5" spans="1:10">
      <c r="A5" s="14"/>
      <c r="B5" s="8" t="s">
        <v>33</v>
      </c>
      <c r="C5" s="76" t="s">
        <v>33</v>
      </c>
      <c r="D5" s="449" t="s">
        <v>2</v>
      </c>
      <c r="E5" s="77" t="s">
        <v>34</v>
      </c>
      <c r="F5" s="76" t="s">
        <v>34</v>
      </c>
      <c r="G5" s="449" t="s">
        <v>2</v>
      </c>
      <c r="H5" s="78" t="s">
        <v>108</v>
      </c>
      <c r="I5" s="79" t="s">
        <v>109</v>
      </c>
      <c r="J5" s="449" t="s">
        <v>2</v>
      </c>
    </row>
    <row r="6" spans="1:10">
      <c r="A6" s="80" t="s">
        <v>5</v>
      </c>
      <c r="B6" s="17"/>
      <c r="C6" s="81"/>
      <c r="D6" s="82"/>
      <c r="E6" s="17"/>
      <c r="F6" s="81"/>
      <c r="G6" s="82"/>
      <c r="H6" s="83"/>
      <c r="I6" s="84"/>
      <c r="J6" s="82"/>
    </row>
    <row r="7" spans="1:10">
      <c r="A7" s="80" t="s">
        <v>6</v>
      </c>
      <c r="B7" s="22">
        <f>SUM(B8:B10)</f>
        <v>198330</v>
      </c>
      <c r="C7" s="85">
        <f>[6]整車出口比較!C7</f>
        <v>315468</v>
      </c>
      <c r="D7" s="512">
        <f>IF(C7,(B7-C7)/C7,0)</f>
        <v>-0.3713149986686447</v>
      </c>
      <c r="E7" s="22">
        <f>SUM(E8:E10)</f>
        <v>203771802</v>
      </c>
      <c r="F7" s="85">
        <f>[6]整車出口比較!F7</f>
        <v>218067412</v>
      </c>
      <c r="G7" s="512">
        <f>IF(F7,(E7-F7)/F7,0)</f>
        <v>-6.5555920845247612E-2</v>
      </c>
      <c r="H7" s="87">
        <f>IF(B7,E7/B7,0)</f>
        <v>1027.4381182877023</v>
      </c>
      <c r="I7" s="88">
        <f>IF(C7,F7/C7,0)</f>
        <v>691.25049767329813</v>
      </c>
      <c r="J7" s="512">
        <f>IF(I7,(H7-I7)/I7,0)</f>
        <v>0.48634702144300612</v>
      </c>
    </row>
    <row r="8" spans="1:10">
      <c r="A8" s="453" t="s">
        <v>201</v>
      </c>
      <c r="B8" s="28">
        <f>整車!E8</f>
        <v>176764</v>
      </c>
      <c r="C8" s="89">
        <f>VLOOKUP(A8,[7]進出口值表查詢結果!$A$2:$C$80,3,0)</f>
        <v>294648</v>
      </c>
      <c r="D8" s="512">
        <f t="shared" ref="D8:D67" si="0">IF(C8,(B8-C8)/C8,0)</f>
        <v>-0.40008416822785153</v>
      </c>
      <c r="E8" s="27">
        <f>整車!G8</f>
        <v>176804787</v>
      </c>
      <c r="F8" s="89">
        <f>VLOOKUP(A8,[7]進出口值表查詢結果!$A$2:$C$80,2,0)</f>
        <v>197112965</v>
      </c>
      <c r="G8" s="512">
        <f t="shared" ref="G8:G67" si="1">IF(F8,(E8-F8)/F8,0)</f>
        <v>-0.10302811892662667</v>
      </c>
      <c r="H8" s="87">
        <f t="shared" ref="H8:H10" si="2">IF(B8,E8/B8,0)</f>
        <v>1000.2307426851621</v>
      </c>
      <c r="I8" s="88">
        <f t="shared" ref="I8:I10" si="3">IF(C8,F8/C8,0)</f>
        <v>668.9777802666232</v>
      </c>
      <c r="J8" s="512">
        <f t="shared" ref="J8:J67" si="4">IF(I8,(H8-I8)/I8,0)</f>
        <v>0.49516287713848584</v>
      </c>
    </row>
    <row r="9" spans="1:10">
      <c r="A9" s="454" t="s">
        <v>7</v>
      </c>
      <c r="B9" s="28">
        <f>整車!E9</f>
        <v>17622</v>
      </c>
      <c r="C9" s="89">
        <f>VLOOKUP(A9,[7]進出口值表查詢結果!$A$2:$C$80,3,0)</f>
        <v>16609</v>
      </c>
      <c r="D9" s="512">
        <f t="shared" si="0"/>
        <v>6.0991028960202302E-2</v>
      </c>
      <c r="E9" s="27">
        <f>整車!G9</f>
        <v>21577504</v>
      </c>
      <c r="F9" s="89">
        <f>VLOOKUP(A9,[7]進出口值表查詢結果!$A$2:$C$80,2,0)</f>
        <v>16336128</v>
      </c>
      <c r="G9" s="512">
        <f t="shared" si="1"/>
        <v>0.32084567407894943</v>
      </c>
      <c r="H9" s="87">
        <f t="shared" si="2"/>
        <v>1224.4639654976734</v>
      </c>
      <c r="I9" s="88">
        <f t="shared" si="3"/>
        <v>983.57083508940934</v>
      </c>
      <c r="J9" s="512">
        <f t="shared" si="4"/>
        <v>0.24491691072394006</v>
      </c>
    </row>
    <row r="10" spans="1:10">
      <c r="A10" s="454" t="s">
        <v>8</v>
      </c>
      <c r="B10" s="28">
        <f>整車!E10</f>
        <v>3944</v>
      </c>
      <c r="C10" s="89">
        <f>VLOOKUP(A10,[7]進出口值表查詢結果!$A$2:$C$80,3,0)</f>
        <v>4211</v>
      </c>
      <c r="D10" s="512">
        <f t="shared" si="0"/>
        <v>-6.3405366896224169E-2</v>
      </c>
      <c r="E10" s="27">
        <f>整車!G10</f>
        <v>5389511</v>
      </c>
      <c r="F10" s="89">
        <f>VLOOKUP(A10,[7]進出口值表查詢結果!$A$2:$C$80,2,0)</f>
        <v>4618319</v>
      </c>
      <c r="G10" s="512">
        <f t="shared" si="1"/>
        <v>0.16698543344450653</v>
      </c>
      <c r="H10" s="87">
        <f t="shared" si="2"/>
        <v>1366.5088742393509</v>
      </c>
      <c r="I10" s="88">
        <f t="shared" si="3"/>
        <v>1096.7273806696746</v>
      </c>
      <c r="J10" s="512">
        <f t="shared" si="4"/>
        <v>0.24598774346724575</v>
      </c>
    </row>
    <row r="11" spans="1:10">
      <c r="A11" s="30"/>
      <c r="B11" s="28"/>
      <c r="C11" s="90">
        <f>[6]整車出口比較!C11</f>
        <v>0</v>
      </c>
      <c r="D11" s="512"/>
      <c r="E11" s="27"/>
      <c r="F11" s="90"/>
      <c r="G11" s="512"/>
      <c r="H11" s="87"/>
      <c r="I11" s="88"/>
      <c r="J11" s="512"/>
    </row>
    <row r="12" spans="1:10">
      <c r="A12" s="32" t="s">
        <v>9</v>
      </c>
      <c r="B12" s="33">
        <f>SUM(B13:B39)</f>
        <v>169294</v>
      </c>
      <c r="C12" s="91">
        <f>[6]整車出口比較!C12</f>
        <v>168407</v>
      </c>
      <c r="D12" s="512">
        <f t="shared" si="0"/>
        <v>5.2670019654764942E-3</v>
      </c>
      <c r="E12" s="33">
        <f>SUM(E13:E39)</f>
        <v>138617084</v>
      </c>
      <c r="F12" s="91">
        <f>[6]整車出口比較!F12</f>
        <v>93953809</v>
      </c>
      <c r="G12" s="512">
        <f t="shared" si="1"/>
        <v>0.47537481955627792</v>
      </c>
      <c r="H12" s="87">
        <f t="shared" ref="H12:H67" si="5">IF(B12,E12/B12,0)</f>
        <v>818.79501931551033</v>
      </c>
      <c r="I12" s="88">
        <f t="shared" ref="I12:I67" si="6">IF(C12,F12/C12,0)</f>
        <v>557.89729049267544</v>
      </c>
      <c r="J12" s="512">
        <f t="shared" si="4"/>
        <v>0.46764473186890337</v>
      </c>
    </row>
    <row r="13" spans="1:10">
      <c r="A13" s="453" t="s">
        <v>202</v>
      </c>
      <c r="B13" s="27">
        <f>整車!E13</f>
        <v>53965</v>
      </c>
      <c r="C13" s="89">
        <f>VLOOKUP(A13,[7]進出口值表查詢結果!$A$2:$C$80,3,0)</f>
        <v>43963</v>
      </c>
      <c r="D13" s="512">
        <f t="shared" si="0"/>
        <v>0.22750949662215955</v>
      </c>
      <c r="E13" s="27">
        <f>整車!G13</f>
        <v>64500550</v>
      </c>
      <c r="F13" s="89">
        <f>VLOOKUP(A13,[7]進出口值表查詢結果!$A$2:$C$80,2,0)</f>
        <v>40134836</v>
      </c>
      <c r="G13" s="512">
        <f t="shared" si="1"/>
        <v>0.60709638878305117</v>
      </c>
      <c r="H13" s="87">
        <f t="shared" si="5"/>
        <v>1195.2293152969517</v>
      </c>
      <c r="I13" s="88">
        <f t="shared" si="6"/>
        <v>912.92304892750724</v>
      </c>
      <c r="J13" s="512">
        <f t="shared" si="4"/>
        <v>0.30923336496005327</v>
      </c>
    </row>
    <row r="14" spans="1:10">
      <c r="A14" s="453" t="s">
        <v>203</v>
      </c>
      <c r="B14" s="27">
        <f>整車!E14</f>
        <v>41486</v>
      </c>
      <c r="C14" s="89">
        <f>VLOOKUP(A14,[7]進出口值表查詢結果!$A$2:$C$80,3,0)</f>
        <v>29642</v>
      </c>
      <c r="D14" s="512">
        <f t="shared" si="0"/>
        <v>0.39956818028473112</v>
      </c>
      <c r="E14" s="27">
        <f>整車!G14</f>
        <v>20856350</v>
      </c>
      <c r="F14" s="89">
        <f>VLOOKUP(A14,[7]進出口值表查詢結果!$A$2:$C$80,2,0)</f>
        <v>9043344</v>
      </c>
      <c r="G14" s="512">
        <f t="shared" si="1"/>
        <v>1.306265248784078</v>
      </c>
      <c r="H14" s="87">
        <f t="shared" si="5"/>
        <v>502.7322470230921</v>
      </c>
      <c r="I14" s="88">
        <f t="shared" si="6"/>
        <v>305.08548680925713</v>
      </c>
      <c r="J14" s="512">
        <f t="shared" si="4"/>
        <v>0.6478405848830362</v>
      </c>
    </row>
    <row r="15" spans="1:10">
      <c r="A15" s="454" t="s">
        <v>10</v>
      </c>
      <c r="B15" s="27">
        <f>整車!E15</f>
        <v>5989</v>
      </c>
      <c r="C15" s="89">
        <f>VLOOKUP(A15,[7]進出口值表查詢結果!$A$2:$C$80,3,0)</f>
        <v>2703</v>
      </c>
      <c r="D15" s="512">
        <f t="shared" si="0"/>
        <v>1.2156862745098038</v>
      </c>
      <c r="E15" s="27">
        <f>整車!G15</f>
        <v>5614376</v>
      </c>
      <c r="F15" s="89">
        <f>VLOOKUP(A15,[7]進出口值表查詢結果!$A$2:$C$80,2,0)</f>
        <v>916291</v>
      </c>
      <c r="G15" s="512">
        <f t="shared" si="1"/>
        <v>5.1272848909353037</v>
      </c>
      <c r="H15" s="87">
        <f t="shared" si="5"/>
        <v>937.44798797795954</v>
      </c>
      <c r="I15" s="88">
        <f t="shared" si="6"/>
        <v>338.99038105808359</v>
      </c>
      <c r="J15" s="512">
        <f t="shared" si="4"/>
        <v>1.7654117649354024</v>
      </c>
    </row>
    <row r="16" spans="1:10">
      <c r="A16" s="453" t="s">
        <v>204</v>
      </c>
      <c r="B16" s="27">
        <f>整車!E16</f>
        <v>16264</v>
      </c>
      <c r="C16" s="89">
        <f>VLOOKUP(A16,[7]進出口值表查詢結果!$A$2:$C$80,3,0)</f>
        <v>6444</v>
      </c>
      <c r="D16" s="512">
        <f t="shared" si="0"/>
        <v>1.5238981998758534</v>
      </c>
      <c r="E16" s="27">
        <f>整車!G16</f>
        <v>14194946</v>
      </c>
      <c r="F16" s="89">
        <f>VLOOKUP(A16,[7]進出口值表查詢結果!$A$2:$C$80,2,0)</f>
        <v>6337671</v>
      </c>
      <c r="G16" s="512">
        <f t="shared" si="1"/>
        <v>1.2397732542443431</v>
      </c>
      <c r="H16" s="87">
        <f t="shared" si="5"/>
        <v>872.78320216428926</v>
      </c>
      <c r="I16" s="88">
        <f t="shared" si="6"/>
        <v>983.49953445065182</v>
      </c>
      <c r="J16" s="512">
        <f t="shared" si="4"/>
        <v>-0.1125738532740687</v>
      </c>
    </row>
    <row r="17" spans="1:10">
      <c r="A17" s="454" t="s">
        <v>11</v>
      </c>
      <c r="B17" s="27">
        <f>整車!E17</f>
        <v>5068</v>
      </c>
      <c r="C17" s="89">
        <f>VLOOKUP(A17,[7]進出口值表查詢結果!$A$2:$C$80,3,0)</f>
        <v>7205</v>
      </c>
      <c r="D17" s="512">
        <f t="shared" si="0"/>
        <v>-0.2965995836224844</v>
      </c>
      <c r="E17" s="27">
        <f>整車!G17</f>
        <v>8430472</v>
      </c>
      <c r="F17" s="89">
        <f>VLOOKUP(A17,[7]進出口值表查詢結果!$A$2:$C$80,2,0)</f>
        <v>7842668</v>
      </c>
      <c r="G17" s="512">
        <f t="shared" si="1"/>
        <v>7.4949494228239669E-2</v>
      </c>
      <c r="H17" s="87">
        <f t="shared" si="5"/>
        <v>1663.4711917916338</v>
      </c>
      <c r="I17" s="88">
        <f t="shared" si="6"/>
        <v>1088.5035392088828</v>
      </c>
      <c r="J17" s="512">
        <f t="shared" si="4"/>
        <v>0.52821845025936598</v>
      </c>
    </row>
    <row r="18" spans="1:10">
      <c r="A18" s="454" t="s">
        <v>12</v>
      </c>
      <c r="B18" s="27">
        <f>整車!E18</f>
        <v>8975</v>
      </c>
      <c r="C18" s="89">
        <f>VLOOKUP(A18,[7]進出口值表查詢結果!$A$2:$C$80,3,0)</f>
        <v>28734</v>
      </c>
      <c r="D18" s="512">
        <f t="shared" si="0"/>
        <v>-0.68765225864829127</v>
      </c>
      <c r="E18" s="27">
        <f>整車!G18</f>
        <v>12272384</v>
      </c>
      <c r="F18" s="89">
        <f>VLOOKUP(A18,[7]進出口值表查詢結果!$A$2:$C$80,2,0)</f>
        <v>18237040</v>
      </c>
      <c r="G18" s="512">
        <f t="shared" si="1"/>
        <v>-0.32706272509135254</v>
      </c>
      <c r="H18" s="87">
        <f t="shared" si="5"/>
        <v>1367.3965459610029</v>
      </c>
      <c r="I18" s="88">
        <f t="shared" si="6"/>
        <v>634.68504211039192</v>
      </c>
      <c r="J18" s="512">
        <f t="shared" si="4"/>
        <v>1.1544489868774457</v>
      </c>
    </row>
    <row r="19" spans="1:10">
      <c r="A19" s="453" t="s">
        <v>205</v>
      </c>
      <c r="B19" s="27">
        <f>整車!E19</f>
        <v>4683</v>
      </c>
      <c r="C19" s="89">
        <f>VLOOKUP(A19,[7]進出口值表查詢結果!$A$2:$C$80,3,0)</f>
        <v>10135</v>
      </c>
      <c r="D19" s="512">
        <f t="shared" si="0"/>
        <v>-0.53793783917118898</v>
      </c>
      <c r="E19" s="27">
        <f>整車!G19</f>
        <v>1877303</v>
      </c>
      <c r="F19" s="89">
        <f>VLOOKUP(A19,[7]進出口值表查詢結果!$A$2:$C$80,2,0)</f>
        <v>3153175</v>
      </c>
      <c r="G19" s="512">
        <f t="shared" si="1"/>
        <v>-0.40463088791456231</v>
      </c>
      <c r="H19" s="87">
        <f t="shared" si="5"/>
        <v>400.87614776852445</v>
      </c>
      <c r="I19" s="88">
        <f t="shared" si="6"/>
        <v>311.11741489886532</v>
      </c>
      <c r="J19" s="512">
        <f t="shared" si="4"/>
        <v>0.28850436706938093</v>
      </c>
    </row>
    <row r="20" spans="1:10">
      <c r="A20" s="454" t="s">
        <v>206</v>
      </c>
      <c r="B20" s="27">
        <f>整車!E20</f>
        <v>50</v>
      </c>
      <c r="C20" s="89">
        <v>0</v>
      </c>
      <c r="D20" s="512">
        <f t="shared" si="0"/>
        <v>0</v>
      </c>
      <c r="E20" s="27">
        <f>整車!G20</f>
        <v>110860</v>
      </c>
      <c r="F20" s="89">
        <v>0</v>
      </c>
      <c r="G20" s="512">
        <f t="shared" si="1"/>
        <v>0</v>
      </c>
      <c r="H20" s="87">
        <f t="shared" si="5"/>
        <v>2217.1999999999998</v>
      </c>
      <c r="I20" s="88">
        <f t="shared" si="6"/>
        <v>0</v>
      </c>
      <c r="J20" s="512">
        <f t="shared" si="4"/>
        <v>0</v>
      </c>
    </row>
    <row r="21" spans="1:10">
      <c r="A21" s="453" t="s">
        <v>207</v>
      </c>
      <c r="B21" s="27">
        <f>整車!E21</f>
        <v>1173</v>
      </c>
      <c r="C21" s="89">
        <f>VLOOKUP(A21,[7]進出口值表查詢結果!$A$2:$C$80,3,0)</f>
        <v>2540</v>
      </c>
      <c r="D21" s="512">
        <f t="shared" si="0"/>
        <v>-0.53818897637795271</v>
      </c>
      <c r="E21" s="27">
        <f>整車!G21</f>
        <v>274590</v>
      </c>
      <c r="F21" s="89">
        <f>VLOOKUP(A21,[7]進出口值表查詢結果!$A$2:$C$80,2,0)</f>
        <v>272368</v>
      </c>
      <c r="G21" s="512">
        <f t="shared" si="1"/>
        <v>8.1580802443752577E-3</v>
      </c>
      <c r="H21" s="87">
        <f t="shared" si="5"/>
        <v>234.0920716112532</v>
      </c>
      <c r="I21" s="88">
        <f t="shared" si="6"/>
        <v>107.23149606299212</v>
      </c>
      <c r="J21" s="512">
        <f t="shared" si="4"/>
        <v>1.1830533024899517</v>
      </c>
    </row>
    <row r="22" spans="1:10">
      <c r="A22" s="454" t="s">
        <v>14</v>
      </c>
      <c r="B22" s="27">
        <f>整車!E22</f>
        <v>0</v>
      </c>
      <c r="C22" s="89">
        <v>0</v>
      </c>
      <c r="D22" s="512">
        <f t="shared" si="0"/>
        <v>0</v>
      </c>
      <c r="E22" s="27">
        <f>整車!G22</f>
        <v>0</v>
      </c>
      <c r="F22" s="89">
        <v>0</v>
      </c>
      <c r="G22" s="512">
        <f t="shared" si="1"/>
        <v>0</v>
      </c>
      <c r="H22" s="87">
        <f t="shared" si="5"/>
        <v>0</v>
      </c>
      <c r="I22" s="88">
        <f t="shared" si="6"/>
        <v>0</v>
      </c>
      <c r="J22" s="512">
        <f t="shared" si="4"/>
        <v>0</v>
      </c>
    </row>
    <row r="23" spans="1:10">
      <c r="A23" s="454" t="s">
        <v>15</v>
      </c>
      <c r="B23" s="27">
        <f>整車!E23</f>
        <v>2</v>
      </c>
      <c r="C23" s="89">
        <v>0</v>
      </c>
      <c r="D23" s="512">
        <f t="shared" si="0"/>
        <v>0</v>
      </c>
      <c r="E23" s="27">
        <f>整車!G23</f>
        <v>7582</v>
      </c>
      <c r="F23" s="89">
        <v>0</v>
      </c>
      <c r="G23" s="512">
        <f t="shared" si="1"/>
        <v>0</v>
      </c>
      <c r="H23" s="87">
        <f t="shared" si="5"/>
        <v>3791</v>
      </c>
      <c r="I23" s="88">
        <f t="shared" si="6"/>
        <v>0</v>
      </c>
      <c r="J23" s="512">
        <f t="shared" si="4"/>
        <v>0</v>
      </c>
    </row>
    <row r="24" spans="1:10">
      <c r="A24" s="454" t="s">
        <v>16</v>
      </c>
      <c r="B24" s="27">
        <f>整車!E24</f>
        <v>62</v>
      </c>
      <c r="C24" s="89">
        <f>VLOOKUP(A24,[7]進出口值表查詢結果!$A$2:$C$80,3,0)</f>
        <v>1271</v>
      </c>
      <c r="D24" s="512">
        <f t="shared" si="0"/>
        <v>-0.95121951219512191</v>
      </c>
      <c r="E24" s="27">
        <f>整車!G24</f>
        <v>133350</v>
      </c>
      <c r="F24" s="89">
        <f>VLOOKUP(A24,[7]進出口值表查詢結果!$A$2:$C$80,2,0)</f>
        <v>453279</v>
      </c>
      <c r="G24" s="512">
        <f t="shared" si="1"/>
        <v>-0.70581032873792959</v>
      </c>
      <c r="H24" s="87">
        <f t="shared" si="5"/>
        <v>2150.8064516129034</v>
      </c>
      <c r="I24" s="88">
        <f t="shared" si="6"/>
        <v>356.6317859952793</v>
      </c>
      <c r="J24" s="512">
        <f t="shared" si="4"/>
        <v>5.0308882608724437</v>
      </c>
    </row>
    <row r="25" spans="1:10">
      <c r="A25" s="453" t="s">
        <v>208</v>
      </c>
      <c r="B25" s="27">
        <f>整車!E25</f>
        <v>17351</v>
      </c>
      <c r="C25" s="89">
        <f>VLOOKUP(A25,[7]進出口值表查詢結果!$A$2:$C$80,3,0)</f>
        <v>18858</v>
      </c>
      <c r="D25" s="512">
        <f t="shared" si="0"/>
        <v>-7.9913034256018672E-2</v>
      </c>
      <c r="E25" s="27">
        <f>整車!G25</f>
        <v>3254864</v>
      </c>
      <c r="F25" s="89">
        <f>VLOOKUP(A25,[7]進出口值表查詢結果!$A$2:$C$80,2,0)</f>
        <v>2890032</v>
      </c>
      <c r="G25" s="512">
        <f t="shared" si="1"/>
        <v>0.12623804857524068</v>
      </c>
      <c r="H25" s="87">
        <f t="shared" si="5"/>
        <v>187.5894184773212</v>
      </c>
      <c r="I25" s="88">
        <f t="shared" si="6"/>
        <v>153.25230671333122</v>
      </c>
      <c r="J25" s="512">
        <f t="shared" si="4"/>
        <v>0.22405608437737817</v>
      </c>
    </row>
    <row r="26" spans="1:10">
      <c r="A26" s="453" t="s">
        <v>209</v>
      </c>
      <c r="B26" s="27">
        <f>整車!E26</f>
        <v>1430</v>
      </c>
      <c r="C26" s="89">
        <f>VLOOKUP(A26,[7]進出口值表查詢結果!$A$2:$C$80,3,0)</f>
        <v>775</v>
      </c>
      <c r="D26" s="512">
        <f t="shared" si="0"/>
        <v>0.84516129032258069</v>
      </c>
      <c r="E26" s="27">
        <f>整車!G26</f>
        <v>691816</v>
      </c>
      <c r="F26" s="89">
        <f>VLOOKUP(A26,[7]進出口值表查詢結果!$A$2:$C$80,2,0)</f>
        <v>418926</v>
      </c>
      <c r="G26" s="512">
        <f t="shared" si="1"/>
        <v>0.65140382788368356</v>
      </c>
      <c r="H26" s="87">
        <f t="shared" si="5"/>
        <v>483.78741258741258</v>
      </c>
      <c r="I26" s="88">
        <f t="shared" si="6"/>
        <v>540.54967741935479</v>
      </c>
      <c r="J26" s="512">
        <f t="shared" si="4"/>
        <v>-0.1050084149581435</v>
      </c>
    </row>
    <row r="27" spans="1:10">
      <c r="A27" s="455" t="s">
        <v>210</v>
      </c>
      <c r="B27" s="27">
        <f>整車!E27</f>
        <v>5754</v>
      </c>
      <c r="C27" s="89">
        <f>VLOOKUP(A27,[7]進出口值表查詢結果!$A$2:$C$80,3,0)</f>
        <v>6185</v>
      </c>
      <c r="D27" s="512">
        <f t="shared" si="0"/>
        <v>-6.9684721099434119E-2</v>
      </c>
      <c r="E27" s="27">
        <f>整車!G27</f>
        <v>3102483</v>
      </c>
      <c r="F27" s="89">
        <f>VLOOKUP(A27,[7]進出口值表查詢結果!$A$2:$C$80,2,0)</f>
        <v>2282165</v>
      </c>
      <c r="G27" s="512">
        <f t="shared" si="1"/>
        <v>0.35944727922827668</v>
      </c>
      <c r="H27" s="87">
        <f t="shared" si="5"/>
        <v>539.18717413972888</v>
      </c>
      <c r="I27" s="88">
        <f t="shared" si="6"/>
        <v>368.98383185125306</v>
      </c>
      <c r="J27" s="512">
        <f t="shared" si="4"/>
        <v>0.46127588147843074</v>
      </c>
    </row>
    <row r="28" spans="1:10">
      <c r="A28" s="455" t="s">
        <v>211</v>
      </c>
      <c r="B28" s="27">
        <f>整車!E28</f>
        <v>3984</v>
      </c>
      <c r="C28" s="89">
        <f>VLOOKUP(A28,[7]進出口值表查詢結果!$A$2:$C$80,3,0)</f>
        <v>4580</v>
      </c>
      <c r="D28" s="512">
        <f t="shared" si="0"/>
        <v>-0.13013100436681221</v>
      </c>
      <c r="E28" s="27">
        <f>整車!G28</f>
        <v>1848804</v>
      </c>
      <c r="F28" s="89">
        <f>VLOOKUP(A28,[7]進出口值表查詢結果!$A$2:$C$80,2,0)</f>
        <v>1162864</v>
      </c>
      <c r="G28" s="512">
        <f t="shared" si="1"/>
        <v>0.58987121451863678</v>
      </c>
      <c r="H28" s="87">
        <f t="shared" si="5"/>
        <v>464.05722891566268</v>
      </c>
      <c r="I28" s="88">
        <f t="shared" si="6"/>
        <v>253.90043668122271</v>
      </c>
      <c r="J28" s="512">
        <f t="shared" si="4"/>
        <v>0.82771339420064172</v>
      </c>
    </row>
    <row r="29" spans="1:10">
      <c r="A29" s="454" t="s">
        <v>212</v>
      </c>
      <c r="B29" s="27">
        <f>整車!E29</f>
        <v>787</v>
      </c>
      <c r="C29" s="89">
        <f>VLOOKUP(A29,[7]進出口值表查詢結果!$A$2:$C$80,3,0)</f>
        <v>2648</v>
      </c>
      <c r="D29" s="512">
        <f t="shared" si="0"/>
        <v>-0.70279456193353473</v>
      </c>
      <c r="E29" s="27">
        <f>整車!G29</f>
        <v>390973</v>
      </c>
      <c r="F29" s="89">
        <f>VLOOKUP(A29,[7]進出口值表查詢結果!$A$2:$C$80,2,0)</f>
        <v>293397</v>
      </c>
      <c r="G29" s="512">
        <f t="shared" si="1"/>
        <v>0.33257327102867446</v>
      </c>
      <c r="H29" s="87">
        <f t="shared" si="5"/>
        <v>496.78907242693776</v>
      </c>
      <c r="I29" s="88">
        <f t="shared" si="6"/>
        <v>110.79947129909365</v>
      </c>
      <c r="J29" s="512">
        <f t="shared" si="4"/>
        <v>3.4836772829528977</v>
      </c>
    </row>
    <row r="30" spans="1:10">
      <c r="A30" s="454" t="s">
        <v>213</v>
      </c>
      <c r="B30" s="27">
        <f>整車!E30</f>
        <v>0</v>
      </c>
      <c r="C30" s="89">
        <f>VLOOKUP(A30,[7]進出口值表查詢結果!$A$2:$C$80,3,0)</f>
        <v>52</v>
      </c>
      <c r="D30" s="512">
        <f t="shared" si="0"/>
        <v>-1</v>
      </c>
      <c r="E30" s="27">
        <f>整車!G30</f>
        <v>0</v>
      </c>
      <c r="F30" s="89">
        <f>VLOOKUP(A30,[7]進出口值表查詢結果!$A$2:$C$80,2,0)</f>
        <v>9005</v>
      </c>
      <c r="G30" s="512">
        <f t="shared" si="1"/>
        <v>-1</v>
      </c>
      <c r="H30" s="87">
        <f t="shared" si="5"/>
        <v>0</v>
      </c>
      <c r="I30" s="88">
        <f t="shared" si="6"/>
        <v>173.17307692307693</v>
      </c>
      <c r="J30" s="512">
        <f t="shared" si="4"/>
        <v>-1</v>
      </c>
    </row>
    <row r="31" spans="1:10">
      <c r="A31" s="454" t="s">
        <v>17</v>
      </c>
      <c r="B31" s="27">
        <f>整車!E31</f>
        <v>537</v>
      </c>
      <c r="C31" s="89">
        <f>VLOOKUP(A31,[7]進出口值表查詢結果!$A$2:$C$80,3,0)</f>
        <v>630</v>
      </c>
      <c r="D31" s="512">
        <f t="shared" si="0"/>
        <v>-0.14761904761904762</v>
      </c>
      <c r="E31" s="388">
        <f>整車!G31</f>
        <v>511671</v>
      </c>
      <c r="F31" s="89">
        <f>VLOOKUP(A31,[7]進出口值表查詢結果!$A$2:$C$80,2,0)</f>
        <v>146566</v>
      </c>
      <c r="G31" s="512">
        <f t="shared" si="1"/>
        <v>2.4910620471323499</v>
      </c>
      <c r="H31" s="87">
        <f t="shared" si="5"/>
        <v>952.8324022346369</v>
      </c>
      <c r="I31" s="88">
        <f t="shared" si="6"/>
        <v>232.64444444444445</v>
      </c>
      <c r="J31" s="512">
        <f t="shared" si="4"/>
        <v>3.0956593849038745</v>
      </c>
    </row>
    <row r="32" spans="1:10">
      <c r="A32" s="454" t="s">
        <v>18</v>
      </c>
      <c r="B32" s="27">
        <f>整車!E32</f>
        <v>0</v>
      </c>
      <c r="C32" s="89">
        <f>VLOOKUP(A32,[7]進出口值表查詢結果!$A$2:$C$80,3,0)</f>
        <v>50</v>
      </c>
      <c r="D32" s="512">
        <f t="shared" si="0"/>
        <v>-1</v>
      </c>
      <c r="E32" s="27">
        <f>整車!G32</f>
        <v>0</v>
      </c>
      <c r="F32" s="89">
        <f>VLOOKUP(A32,[7]進出口值表查詢結果!$A$2:$C$80,2,0)</f>
        <v>6221</v>
      </c>
      <c r="G32" s="512">
        <f t="shared" si="1"/>
        <v>-1</v>
      </c>
      <c r="H32" s="87">
        <f t="shared" si="5"/>
        <v>0</v>
      </c>
      <c r="I32" s="88">
        <f t="shared" si="6"/>
        <v>124.42</v>
      </c>
      <c r="J32" s="512">
        <f t="shared" si="4"/>
        <v>-1</v>
      </c>
    </row>
    <row r="33" spans="1:10">
      <c r="A33" s="454" t="s">
        <v>214</v>
      </c>
      <c r="B33" s="27">
        <f>整車!E33</f>
        <v>697</v>
      </c>
      <c r="C33" s="89">
        <f>VLOOKUP(A33,[7]進出口值表查詢結果!$A$2:$C$80,3,0)</f>
        <v>213</v>
      </c>
      <c r="D33" s="512">
        <f t="shared" si="0"/>
        <v>2.272300469483568</v>
      </c>
      <c r="E33" s="27">
        <f>整車!G33</f>
        <v>299048</v>
      </c>
      <c r="F33" s="89">
        <f>VLOOKUP(A33,[7]進出口值表查詢結果!$A$2:$C$80,2,0)</f>
        <v>29589</v>
      </c>
      <c r="G33" s="512">
        <f t="shared" si="1"/>
        <v>9.1067288519382199</v>
      </c>
      <c r="H33" s="87">
        <f t="shared" si="5"/>
        <v>429.05021520803444</v>
      </c>
      <c r="I33" s="88">
        <f t="shared" si="6"/>
        <v>138.91549295774647</v>
      </c>
      <c r="J33" s="512">
        <f t="shared" si="4"/>
        <v>2.0885699361016372</v>
      </c>
    </row>
    <row r="34" spans="1:10">
      <c r="A34" s="454" t="s">
        <v>215</v>
      </c>
      <c r="B34" s="27">
        <f>整車!E34</f>
        <v>263</v>
      </c>
      <c r="C34" s="89">
        <f>VLOOKUP(A34,[7]進出口值表查詢結果!$A$2:$C$80,3,0)</f>
        <v>413</v>
      </c>
      <c r="D34" s="512">
        <f t="shared" si="0"/>
        <v>-0.36319612590799033</v>
      </c>
      <c r="E34" s="27">
        <f>整車!G34</f>
        <v>84494</v>
      </c>
      <c r="F34" s="89">
        <f>VLOOKUP(A34,[7]進出口值表查詢結果!$A$2:$C$80,2,0)</f>
        <v>92521</v>
      </c>
      <c r="G34" s="512">
        <f t="shared" si="1"/>
        <v>-8.6758681812777641E-2</v>
      </c>
      <c r="H34" s="87">
        <f t="shared" si="5"/>
        <v>321.26996197718631</v>
      </c>
      <c r="I34" s="88">
        <f t="shared" si="6"/>
        <v>224.02179176755448</v>
      </c>
      <c r="J34" s="512">
        <f t="shared" si="4"/>
        <v>0.43410138559438344</v>
      </c>
    </row>
    <row r="35" spans="1:10">
      <c r="A35" s="454" t="s">
        <v>216</v>
      </c>
      <c r="B35" s="27">
        <f>整車!E35</f>
        <v>126</v>
      </c>
      <c r="C35" s="89">
        <f>VLOOKUP(A35,[7]進出口值表查詢結果!$A$2:$C$80,3,0)</f>
        <v>253</v>
      </c>
      <c r="D35" s="512">
        <f t="shared" si="0"/>
        <v>-0.50197628458498023</v>
      </c>
      <c r="E35" s="27">
        <f>整車!G35</f>
        <v>45446</v>
      </c>
      <c r="F35" s="89">
        <f>VLOOKUP(A35,[7]進出口值表查詢結果!$A$2:$C$80,2,0)</f>
        <v>60289</v>
      </c>
      <c r="G35" s="512">
        <f t="shared" si="1"/>
        <v>-0.24619748212775133</v>
      </c>
      <c r="H35" s="87">
        <f t="shared" si="5"/>
        <v>360.6825396825397</v>
      </c>
      <c r="I35" s="88">
        <f t="shared" si="6"/>
        <v>238.29644268774703</v>
      </c>
      <c r="J35" s="512">
        <f t="shared" si="4"/>
        <v>0.5135875954101502</v>
      </c>
    </row>
    <row r="36" spans="1:10">
      <c r="A36" s="454" t="s">
        <v>217</v>
      </c>
      <c r="B36" s="27">
        <f>整車!E36</f>
        <v>0</v>
      </c>
      <c r="C36" s="89">
        <f>VLOOKUP(A36,[7]進出口值表查詢結果!$A$2:$C$80,3,0)</f>
        <v>404</v>
      </c>
      <c r="D36" s="512">
        <f t="shared" si="0"/>
        <v>-1</v>
      </c>
      <c r="E36" s="27">
        <f>整車!G36</f>
        <v>0</v>
      </c>
      <c r="F36" s="89">
        <f>VLOOKUP(A36,[7]進出口值表查詢結果!$A$2:$C$80,2,0)</f>
        <v>68501</v>
      </c>
      <c r="G36" s="512">
        <f t="shared" si="1"/>
        <v>-1</v>
      </c>
      <c r="H36" s="87">
        <f t="shared" si="5"/>
        <v>0</v>
      </c>
      <c r="I36" s="88">
        <f t="shared" si="6"/>
        <v>169.55693069306932</v>
      </c>
      <c r="J36" s="512">
        <f t="shared" si="4"/>
        <v>-1</v>
      </c>
    </row>
    <row r="37" spans="1:10">
      <c r="A37" s="454" t="s">
        <v>218</v>
      </c>
      <c r="B37" s="27">
        <f>整車!E37</f>
        <v>0</v>
      </c>
      <c r="C37" s="89">
        <f>VLOOKUP(A37,[7]進出口值表查詢結果!$A$2:$C$80,3,0)</f>
        <v>114</v>
      </c>
      <c r="D37" s="512">
        <f t="shared" si="0"/>
        <v>-1</v>
      </c>
      <c r="E37" s="27">
        <f>整車!G37</f>
        <v>0</v>
      </c>
      <c r="F37" s="89">
        <f>VLOOKUP(A37,[7]進出口值表查詢結果!$A$2:$C$80,2,0)</f>
        <v>12060</v>
      </c>
      <c r="G37" s="512">
        <f t="shared" si="1"/>
        <v>-1</v>
      </c>
      <c r="H37" s="87">
        <f t="shared" si="5"/>
        <v>0</v>
      </c>
      <c r="I37" s="88">
        <f t="shared" si="6"/>
        <v>105.78947368421052</v>
      </c>
      <c r="J37" s="512">
        <f t="shared" si="4"/>
        <v>-1</v>
      </c>
    </row>
    <row r="38" spans="1:10">
      <c r="A38" s="454" t="s">
        <v>219</v>
      </c>
      <c r="B38" s="27">
        <f>整車!E38</f>
        <v>325</v>
      </c>
      <c r="C38" s="89">
        <f>VLOOKUP(A38,[7]進出口值表查詢結果!$A$2:$C$80,3,0)</f>
        <v>250</v>
      </c>
      <c r="D38" s="512">
        <f t="shared" si="0"/>
        <v>0.3</v>
      </c>
      <c r="E38" s="27">
        <f>整車!G38</f>
        <v>48937</v>
      </c>
      <c r="F38" s="89">
        <f>VLOOKUP(A38,[7]進出口值表查詢結果!$A$2:$C$80,2,0)</f>
        <v>34147</v>
      </c>
      <c r="G38" s="512">
        <f t="shared" si="1"/>
        <v>0.43312736111517847</v>
      </c>
      <c r="H38" s="87">
        <f t="shared" si="5"/>
        <v>150.57538461538462</v>
      </c>
      <c r="I38" s="88">
        <f t="shared" si="6"/>
        <v>136.58799999999999</v>
      </c>
      <c r="J38" s="512">
        <f t="shared" si="4"/>
        <v>0.10240566239629124</v>
      </c>
    </row>
    <row r="39" spans="1:10">
      <c r="A39" s="454" t="s">
        <v>19</v>
      </c>
      <c r="B39" s="27">
        <f>整車!E39</f>
        <v>323</v>
      </c>
      <c r="C39" s="89">
        <f>VLOOKUP(A39,[7]進出口值表查詢結果!$A$2:$C$80,3,0)</f>
        <v>345</v>
      </c>
      <c r="D39" s="512">
        <f t="shared" si="0"/>
        <v>-6.3768115942028983E-2</v>
      </c>
      <c r="E39" s="27">
        <f>整車!G39</f>
        <v>65785</v>
      </c>
      <c r="F39" s="89">
        <f>VLOOKUP(A39,[7]進出口值表查詢結果!$A$2:$C$80,2,0)</f>
        <v>56854</v>
      </c>
      <c r="G39" s="512">
        <f t="shared" si="1"/>
        <v>0.15708657262461745</v>
      </c>
      <c r="H39" s="87">
        <f t="shared" si="5"/>
        <v>203.6687306501548</v>
      </c>
      <c r="I39" s="88">
        <f t="shared" si="6"/>
        <v>164.79420289855074</v>
      </c>
      <c r="J39" s="512">
        <f t="shared" si="4"/>
        <v>0.23589742277242412</v>
      </c>
    </row>
    <row r="40" spans="1:10">
      <c r="A40" s="30"/>
      <c r="B40" s="27"/>
      <c r="C40" s="90">
        <f>[6]整車出口比較!C40</f>
        <v>0</v>
      </c>
      <c r="D40" s="512"/>
      <c r="E40" s="27"/>
      <c r="F40" s="90">
        <f>[6]整車出口比較!F40</f>
        <v>0</v>
      </c>
      <c r="G40" s="512"/>
      <c r="H40" s="87"/>
      <c r="I40" s="88"/>
      <c r="J40" s="512"/>
    </row>
    <row r="41" spans="1:10" ht="16.149999999999999" customHeight="1">
      <c r="A41" s="36" t="s">
        <v>20</v>
      </c>
      <c r="B41" s="33">
        <f>SUM(B42:B45)</f>
        <v>18020</v>
      </c>
      <c r="C41" s="91">
        <f>[6]整車出口比較!C41</f>
        <v>8512</v>
      </c>
      <c r="D41" s="512">
        <f t="shared" si="0"/>
        <v>1.1170112781954886</v>
      </c>
      <c r="E41" s="33">
        <f>SUM(E42:E45)</f>
        <v>11283966</v>
      </c>
      <c r="F41" s="91">
        <f>[6]整車出口比較!F41</f>
        <v>7968485</v>
      </c>
      <c r="G41" s="512">
        <f t="shared" si="1"/>
        <v>0.41607419729095307</v>
      </c>
      <c r="H41" s="87">
        <f t="shared" si="5"/>
        <v>626.1912319644839</v>
      </c>
      <c r="I41" s="88">
        <f t="shared" si="6"/>
        <v>936.14720394736844</v>
      </c>
      <c r="J41" s="512">
        <f t="shared" si="4"/>
        <v>-0.33109747129075517</v>
      </c>
    </row>
    <row r="42" spans="1:10">
      <c r="A42" s="453" t="s">
        <v>220</v>
      </c>
      <c r="B42" s="27">
        <f>整車!E42</f>
        <v>4738</v>
      </c>
      <c r="C42" s="89">
        <f>VLOOKUP(A42,[7]進出口值表查詢結果!$A$2:$C$80,3,0)</f>
        <v>3593</v>
      </c>
      <c r="D42" s="512">
        <f t="shared" si="0"/>
        <v>0.31867520178124131</v>
      </c>
      <c r="E42" s="27">
        <f>整車!G42</f>
        <v>6306270</v>
      </c>
      <c r="F42" s="89">
        <f>VLOOKUP(A42,[7]進出口值表查詢結果!$A$2:$C$80,2,0)</f>
        <v>4783997</v>
      </c>
      <c r="G42" s="512">
        <f t="shared" si="1"/>
        <v>0.31820107746723086</v>
      </c>
      <c r="H42" s="87">
        <f t="shared" si="5"/>
        <v>1330.9983115238497</v>
      </c>
      <c r="I42" s="88">
        <f t="shared" si="6"/>
        <v>1331.4770386863345</v>
      </c>
      <c r="J42" s="512">
        <f t="shared" si="4"/>
        <v>-3.5954593926540771E-4</v>
      </c>
    </row>
    <row r="43" spans="1:10">
      <c r="A43" s="453" t="s">
        <v>221</v>
      </c>
      <c r="B43" s="27">
        <f>整車!E43</f>
        <v>13239</v>
      </c>
      <c r="C43" s="89">
        <f>VLOOKUP(A43,[7]進出口值表查詢結果!$A$2:$C$80,3,0)</f>
        <v>4889</v>
      </c>
      <c r="D43" s="512">
        <f t="shared" si="0"/>
        <v>1.707915729187973</v>
      </c>
      <c r="E43" s="27">
        <f>整車!G43</f>
        <v>4925914</v>
      </c>
      <c r="F43" s="89">
        <f>VLOOKUP(A43,[7]進出口值表查詢結果!$A$2:$C$80,2,0)</f>
        <v>3155218</v>
      </c>
      <c r="G43" s="512">
        <f t="shared" si="1"/>
        <v>0.56119608851115832</v>
      </c>
      <c r="H43" s="87">
        <f t="shared" si="5"/>
        <v>372.07598761235744</v>
      </c>
      <c r="I43" s="88">
        <f t="shared" si="6"/>
        <v>645.37083248108001</v>
      </c>
      <c r="J43" s="512">
        <f t="shared" si="4"/>
        <v>-0.42346947075073249</v>
      </c>
    </row>
    <row r="44" spans="1:10">
      <c r="A44" s="453" t="s">
        <v>222</v>
      </c>
      <c r="B44" s="27">
        <f>整車!E44</f>
        <v>43</v>
      </c>
      <c r="C44" s="89">
        <f>VLOOKUP(A44,[7]進出口值表查詢結果!$A$2:$C$80,3,0)</f>
        <v>30</v>
      </c>
      <c r="D44" s="512">
        <f t="shared" si="0"/>
        <v>0.43333333333333335</v>
      </c>
      <c r="E44" s="27">
        <f>整車!G44</f>
        <v>51782</v>
      </c>
      <c r="F44" s="89">
        <f>VLOOKUP(A44,[7]進出口值表查詢結果!$A$2:$C$80,2,0)</f>
        <v>29270</v>
      </c>
      <c r="G44" s="512">
        <f t="shared" si="1"/>
        <v>0.76911513495046124</v>
      </c>
      <c r="H44" s="87">
        <f t="shared" si="5"/>
        <v>1204.2325581395348</v>
      </c>
      <c r="I44" s="88">
        <f t="shared" si="6"/>
        <v>975.66666666666663</v>
      </c>
      <c r="J44" s="512">
        <f t="shared" si="4"/>
        <v>0.23426637322125202</v>
      </c>
    </row>
    <row r="45" spans="1:10">
      <c r="A45" s="30" t="s">
        <v>21</v>
      </c>
      <c r="B45" s="27">
        <f>整車!E45</f>
        <v>0</v>
      </c>
      <c r="C45" s="89">
        <v>0</v>
      </c>
      <c r="D45" s="512">
        <f t="shared" si="0"/>
        <v>0</v>
      </c>
      <c r="E45" s="27">
        <f>整車!G45</f>
        <v>0</v>
      </c>
      <c r="F45" s="89">
        <v>0</v>
      </c>
      <c r="G45" s="512">
        <f t="shared" si="1"/>
        <v>0</v>
      </c>
      <c r="H45" s="87">
        <f t="shared" si="5"/>
        <v>0</v>
      </c>
      <c r="I45" s="88">
        <f t="shared" si="6"/>
        <v>0</v>
      </c>
      <c r="J45" s="512">
        <f t="shared" si="4"/>
        <v>0</v>
      </c>
    </row>
    <row r="46" spans="1:10" ht="17.45" customHeight="1">
      <c r="A46" s="30"/>
      <c r="B46" s="27"/>
      <c r="C46" s="90"/>
      <c r="D46" s="512"/>
      <c r="E46" s="27"/>
      <c r="F46" s="90"/>
      <c r="G46" s="512"/>
      <c r="H46" s="87"/>
      <c r="I46" s="88"/>
      <c r="J46" s="512"/>
    </row>
    <row r="47" spans="1:10">
      <c r="A47" s="36" t="s">
        <v>22</v>
      </c>
      <c r="B47" s="33">
        <f>SUM(B48:B65)</f>
        <v>148538</v>
      </c>
      <c r="C47" s="91">
        <f>[6]整車出口比較!C47</f>
        <v>166351</v>
      </c>
      <c r="D47" s="512">
        <f t="shared" si="0"/>
        <v>-0.10708081105614033</v>
      </c>
      <c r="E47" s="33">
        <f>SUM(E48:E65)</f>
        <v>142459504</v>
      </c>
      <c r="F47" s="91">
        <f>[6]整車出口比較!F47</f>
        <v>143587179</v>
      </c>
      <c r="G47" s="512">
        <f t="shared" si="1"/>
        <v>-7.8535911622025813E-3</v>
      </c>
      <c r="H47" s="87">
        <f t="shared" si="5"/>
        <v>959.0778386675463</v>
      </c>
      <c r="I47" s="88">
        <f t="shared" si="6"/>
        <v>863.15789505323085</v>
      </c>
      <c r="J47" s="512">
        <f t="shared" si="4"/>
        <v>0.11112676390268096</v>
      </c>
    </row>
    <row r="48" spans="1:10">
      <c r="A48" s="485" t="s">
        <v>163</v>
      </c>
      <c r="B48" s="27">
        <f>整車!E48</f>
        <v>32430</v>
      </c>
      <c r="C48" s="89">
        <f>VLOOKUP(A48,[7]進出口值表查詢結果!$A$2:$C$80,3,0)</f>
        <v>50237</v>
      </c>
      <c r="D48" s="512">
        <f t="shared" si="0"/>
        <v>-0.35445986026235643</v>
      </c>
      <c r="E48" s="27">
        <f>整車!G48</f>
        <v>26274930</v>
      </c>
      <c r="F48" s="89">
        <f>VLOOKUP(A48,[7]進出口值表查詢結果!$A$2:$C$80,2,0)</f>
        <v>29993536</v>
      </c>
      <c r="G48" s="512">
        <f t="shared" si="1"/>
        <v>-0.12398024694387484</v>
      </c>
      <c r="H48" s="87">
        <f t="shared" si="5"/>
        <v>810.20444033302499</v>
      </c>
      <c r="I48" s="88">
        <f t="shared" si="6"/>
        <v>597.04074685988417</v>
      </c>
      <c r="J48" s="512">
        <f t="shared" si="4"/>
        <v>0.35703374450448844</v>
      </c>
    </row>
    <row r="49" spans="1:10">
      <c r="A49" s="453" t="s">
        <v>223</v>
      </c>
      <c r="B49" s="27">
        <f>整車!E49</f>
        <v>17949</v>
      </c>
      <c r="C49" s="89">
        <f>VLOOKUP(A49,[7]進出口值表查詢結果!$A$2:$C$80,3,0)</f>
        <v>17226</v>
      </c>
      <c r="D49" s="512">
        <f t="shared" si="0"/>
        <v>4.1971438523162659E-2</v>
      </c>
      <c r="E49" s="27">
        <f>整車!G49</f>
        <v>15021038</v>
      </c>
      <c r="F49" s="89">
        <f>VLOOKUP(A49,[7]進出口值表查詢結果!$A$2:$C$80,2,0)</f>
        <v>14076559</v>
      </c>
      <c r="G49" s="512">
        <f t="shared" si="1"/>
        <v>6.7095871938589541E-2</v>
      </c>
      <c r="H49" s="87">
        <f t="shared" si="5"/>
        <v>836.87325199175439</v>
      </c>
      <c r="I49" s="88">
        <f t="shared" si="6"/>
        <v>817.16933704864744</v>
      </c>
      <c r="J49" s="512">
        <f t="shared" si="4"/>
        <v>2.4112401248768279E-2</v>
      </c>
    </row>
    <row r="50" spans="1:10">
      <c r="A50" s="291" t="s">
        <v>224</v>
      </c>
      <c r="B50" s="27">
        <f>整車!E50</f>
        <v>883</v>
      </c>
      <c r="C50" s="89">
        <f>VLOOKUP(A50,[7]進出口值表查詢結果!$A$2:$C$80,3,0)</f>
        <v>759</v>
      </c>
      <c r="D50" s="512">
        <f t="shared" si="0"/>
        <v>0.16337285902503293</v>
      </c>
      <c r="E50" s="27">
        <f>整車!G50</f>
        <v>916458</v>
      </c>
      <c r="F50" s="89">
        <f>VLOOKUP(A50,[7]進出口值表查詢結果!$A$2:$C$80,2,0)</f>
        <v>1203142</v>
      </c>
      <c r="G50" s="512">
        <f t="shared" si="1"/>
        <v>-0.23827943833728688</v>
      </c>
      <c r="H50" s="87">
        <f t="shared" si="5"/>
        <v>1037.8912797281994</v>
      </c>
      <c r="I50" s="88">
        <f t="shared" si="6"/>
        <v>1585.167325428195</v>
      </c>
      <c r="J50" s="512">
        <f t="shared" si="4"/>
        <v>-0.34524812423329637</v>
      </c>
    </row>
    <row r="51" spans="1:10">
      <c r="A51" s="453" t="s">
        <v>225</v>
      </c>
      <c r="B51" s="27">
        <f>整車!E51</f>
        <v>2006</v>
      </c>
      <c r="C51" s="89">
        <f>VLOOKUP(A51,[7]進出口值表查詢結果!$A$2:$C$80,3,0)</f>
        <v>1081</v>
      </c>
      <c r="D51" s="512">
        <f t="shared" si="0"/>
        <v>0.85568917668825162</v>
      </c>
      <c r="E51" s="27">
        <f>整車!G51</f>
        <v>2910303</v>
      </c>
      <c r="F51" s="89">
        <f>VLOOKUP(A51,[7]進出口值表查詢結果!$A$2:$C$80,2,0)</f>
        <v>1398582</v>
      </c>
      <c r="G51" s="512">
        <f t="shared" si="1"/>
        <v>1.0808955070206823</v>
      </c>
      <c r="H51" s="87">
        <f t="shared" si="5"/>
        <v>1450.7991026919242</v>
      </c>
      <c r="I51" s="88">
        <f t="shared" si="6"/>
        <v>1293.7853839037928</v>
      </c>
      <c r="J51" s="512">
        <f t="shared" si="4"/>
        <v>0.12135994171952025</v>
      </c>
    </row>
    <row r="52" spans="1:10">
      <c r="A52" s="454" t="s">
        <v>23</v>
      </c>
      <c r="B52" s="27">
        <f>整車!E52</f>
        <v>317</v>
      </c>
      <c r="C52" s="89">
        <f>VLOOKUP(A52,[7]進出口值表查詢結果!$A$2:$C$80,3,0)</f>
        <v>1267</v>
      </c>
      <c r="D52" s="512">
        <f t="shared" si="0"/>
        <v>-0.74980268350434098</v>
      </c>
      <c r="E52" s="27">
        <f>整車!G52</f>
        <v>474565</v>
      </c>
      <c r="F52" s="89">
        <f>VLOOKUP(A52,[7]進出口值表查詢結果!$A$2:$C$80,2,0)</f>
        <v>1124750</v>
      </c>
      <c r="G52" s="512">
        <f t="shared" si="1"/>
        <v>-0.57807068237386083</v>
      </c>
      <c r="H52" s="87">
        <f t="shared" si="5"/>
        <v>1497.0504731861199</v>
      </c>
      <c r="I52" s="88">
        <f t="shared" si="6"/>
        <v>887.7269139700079</v>
      </c>
      <c r="J52" s="512">
        <f t="shared" si="4"/>
        <v>0.6863862631934331</v>
      </c>
    </row>
    <row r="53" spans="1:10">
      <c r="A53" s="453" t="s">
        <v>226</v>
      </c>
      <c r="B53" s="27">
        <f>整車!E53</f>
        <v>1525</v>
      </c>
      <c r="C53" s="89">
        <f>VLOOKUP(A53,[7]進出口值表查詢結果!$A$2:$C$80,3,0)</f>
        <v>3441</v>
      </c>
      <c r="D53" s="512">
        <f t="shared" si="0"/>
        <v>-0.55681487939552454</v>
      </c>
      <c r="E53" s="27">
        <f>整車!G53</f>
        <v>2405553</v>
      </c>
      <c r="F53" s="89">
        <f>VLOOKUP(A53,[7]進出口值表查詢結果!$A$2:$C$80,2,0)</f>
        <v>4037828</v>
      </c>
      <c r="G53" s="512">
        <f t="shared" si="1"/>
        <v>-0.40424579749310768</v>
      </c>
      <c r="H53" s="87">
        <f t="shared" si="5"/>
        <v>1577.4118032786885</v>
      </c>
      <c r="I53" s="88">
        <f t="shared" si="6"/>
        <v>1173.4460912525428</v>
      </c>
      <c r="J53" s="512">
        <f t="shared" si="4"/>
        <v>0.34425587595161733</v>
      </c>
    </row>
    <row r="54" spans="1:10">
      <c r="A54" s="454" t="s">
        <v>227</v>
      </c>
      <c r="B54" s="27">
        <f>整車!E54</f>
        <v>18337</v>
      </c>
      <c r="C54" s="89">
        <f>VLOOKUP(A54,[7]進出口值表查詢結果!$A$2:$C$80,3,0)</f>
        <v>43212</v>
      </c>
      <c r="D54" s="512">
        <f t="shared" si="0"/>
        <v>-0.57565028232898274</v>
      </c>
      <c r="E54" s="27">
        <f>整車!G54</f>
        <v>26706765</v>
      </c>
      <c r="F54" s="89">
        <f>VLOOKUP(A54,[7]進出口值表查詢結果!$A$2:$C$80,2,0)</f>
        <v>33279307</v>
      </c>
      <c r="G54" s="512">
        <f t="shared" si="1"/>
        <v>-0.19749636012552785</v>
      </c>
      <c r="H54" s="87">
        <f t="shared" si="5"/>
        <v>1456.4413480940175</v>
      </c>
      <c r="I54" s="88">
        <f t="shared" si="6"/>
        <v>770.14040081458859</v>
      </c>
      <c r="J54" s="512">
        <f t="shared" si="4"/>
        <v>0.89113744267086692</v>
      </c>
    </row>
    <row r="55" spans="1:10">
      <c r="A55" s="454" t="s">
        <v>24</v>
      </c>
      <c r="B55" s="27">
        <f>整車!E55</f>
        <v>1881</v>
      </c>
      <c r="C55" s="89">
        <f>VLOOKUP(A55,[7]進出口值表查詢結果!$A$2:$C$80,3,0)</f>
        <v>2518</v>
      </c>
      <c r="D55" s="512">
        <f t="shared" si="0"/>
        <v>-0.2529785544082605</v>
      </c>
      <c r="E55" s="27">
        <f>整車!G55</f>
        <v>2112989</v>
      </c>
      <c r="F55" s="89">
        <f>VLOOKUP(A55,[7]進出口值表查詢結果!$A$2:$C$80,2,0)</f>
        <v>2834364</v>
      </c>
      <c r="G55" s="512">
        <f t="shared" si="1"/>
        <v>-0.25451035929047927</v>
      </c>
      <c r="H55" s="87">
        <f t="shared" si="5"/>
        <v>1123.3328017012227</v>
      </c>
      <c r="I55" s="88">
        <f t="shared" si="6"/>
        <v>1125.6409849086576</v>
      </c>
      <c r="J55" s="512">
        <f t="shared" si="4"/>
        <v>-2.0505500762503103E-3</v>
      </c>
    </row>
    <row r="56" spans="1:10">
      <c r="A56" s="454" t="s">
        <v>228</v>
      </c>
      <c r="B56" s="27">
        <f>整車!E56</f>
        <v>50722</v>
      </c>
      <c r="C56" s="89">
        <f>VLOOKUP(A56,[7]進出口值表查詢結果!$A$2:$C$80,3,0)</f>
        <v>8323</v>
      </c>
      <c r="D56" s="512">
        <f t="shared" si="0"/>
        <v>5.094196804037006</v>
      </c>
      <c r="E56" s="27">
        <f>整車!G56</f>
        <v>37410336</v>
      </c>
      <c r="F56" s="89">
        <f>VLOOKUP(A56,[7]進出口值表查詢結果!$A$2:$C$80,2,0)</f>
        <v>10959063</v>
      </c>
      <c r="G56" s="512">
        <f t="shared" si="1"/>
        <v>2.4136436664338912</v>
      </c>
      <c r="H56" s="87">
        <f t="shared" si="5"/>
        <v>737.55640550451483</v>
      </c>
      <c r="I56" s="88">
        <f t="shared" si="6"/>
        <v>1316.7202931635227</v>
      </c>
      <c r="J56" s="512">
        <f t="shared" si="4"/>
        <v>-0.43985339230059384</v>
      </c>
    </row>
    <row r="57" spans="1:10">
      <c r="A57" s="456" t="s">
        <v>456</v>
      </c>
      <c r="B57" s="27">
        <f>整車!E57</f>
        <v>12216</v>
      </c>
      <c r="C57" s="89">
        <f>VLOOKUP(A57,[7]進出口值表查詢結果!$A$2:$C$80,3,0)</f>
        <v>15257</v>
      </c>
      <c r="D57" s="512">
        <f t="shared" si="0"/>
        <v>-0.19931834567739398</v>
      </c>
      <c r="E57" s="27">
        <f>整車!G57</f>
        <v>13509009</v>
      </c>
      <c r="F57" s="89">
        <f>VLOOKUP(A57,[7]進出口值表查詢結果!$A$2:$C$80,2,0)</f>
        <v>18270801</v>
      </c>
      <c r="G57" s="512">
        <f t="shared" si="1"/>
        <v>-0.26062305642757533</v>
      </c>
      <c r="H57" s="87">
        <f t="shared" si="5"/>
        <v>1105.8455304518664</v>
      </c>
      <c r="I57" s="88">
        <f t="shared" si="6"/>
        <v>1197.5356229927247</v>
      </c>
      <c r="J57" s="512">
        <f t="shared" si="4"/>
        <v>-7.6565649305461531E-2</v>
      </c>
    </row>
    <row r="58" spans="1:10">
      <c r="A58" s="454" t="s">
        <v>25</v>
      </c>
      <c r="B58" s="27">
        <f>整車!E58</f>
        <v>1012</v>
      </c>
      <c r="C58" s="89">
        <f>VLOOKUP(A58,[7]進出口值表查詢結果!$A$2:$C$80,3,0)</f>
        <v>2815</v>
      </c>
      <c r="D58" s="512">
        <f t="shared" si="0"/>
        <v>-0.64049733570159861</v>
      </c>
      <c r="E58" s="27">
        <f>整車!G58</f>
        <v>455264</v>
      </c>
      <c r="F58" s="89">
        <f>VLOOKUP(A58,[7]進出口值表查詢結果!$A$2:$C$80,2,0)</f>
        <v>827297</v>
      </c>
      <c r="G58" s="512">
        <f t="shared" si="1"/>
        <v>-0.44969702537299178</v>
      </c>
      <c r="H58" s="87">
        <f t="shared" si="5"/>
        <v>449.86561264822137</v>
      </c>
      <c r="I58" s="88">
        <f t="shared" si="6"/>
        <v>293.88880994671405</v>
      </c>
      <c r="J58" s="512">
        <f t="shared" si="4"/>
        <v>0.53073406479745855</v>
      </c>
    </row>
    <row r="59" spans="1:10">
      <c r="A59" s="454" t="s">
        <v>26</v>
      </c>
      <c r="B59" s="27">
        <f>整車!E59</f>
        <v>119</v>
      </c>
      <c r="C59" s="89">
        <f>VLOOKUP(A59,[7]進出口值表查詢結果!$A$2:$C$80,3,0)</f>
        <v>212</v>
      </c>
      <c r="D59" s="512">
        <f t="shared" si="0"/>
        <v>-0.43867924528301888</v>
      </c>
      <c r="E59" s="27">
        <f>整車!G59</f>
        <v>44021</v>
      </c>
      <c r="F59" s="89">
        <f>VLOOKUP(A59,[7]進出口值表查詢結果!$A$2:$C$80,2,0)</f>
        <v>36817</v>
      </c>
      <c r="G59" s="512">
        <f t="shared" si="1"/>
        <v>0.19567047831164952</v>
      </c>
      <c r="H59" s="87">
        <f t="shared" si="5"/>
        <v>369.92436974789916</v>
      </c>
      <c r="I59" s="88">
        <f t="shared" si="6"/>
        <v>173.66509433962264</v>
      </c>
      <c r="J59" s="512">
        <f t="shared" si="4"/>
        <v>1.130102028588821</v>
      </c>
    </row>
    <row r="60" spans="1:10">
      <c r="A60" s="454" t="s">
        <v>27</v>
      </c>
      <c r="B60" s="27">
        <f>整車!E60</f>
        <v>3445</v>
      </c>
      <c r="C60" s="89">
        <f>VLOOKUP(A60,[7]進出口值表查詢結果!$A$2:$C$80,3,0)</f>
        <v>8460</v>
      </c>
      <c r="D60" s="512">
        <f t="shared" si="0"/>
        <v>-0.5927895981087471</v>
      </c>
      <c r="E60" s="27">
        <f>整車!G60</f>
        <v>5185015</v>
      </c>
      <c r="F60" s="89">
        <f>VLOOKUP(A60,[7]進出口值表查詢結果!$A$2:$C$80,2,0)</f>
        <v>9234307</v>
      </c>
      <c r="G60" s="512">
        <f t="shared" si="1"/>
        <v>-0.43850523921286133</v>
      </c>
      <c r="H60" s="87">
        <f t="shared" si="5"/>
        <v>1505.0841799709724</v>
      </c>
      <c r="I60" s="88">
        <f t="shared" si="6"/>
        <v>1091.5256501182032</v>
      </c>
      <c r="J60" s="512">
        <f t="shared" si="4"/>
        <v>0.37888118323924336</v>
      </c>
    </row>
    <row r="61" spans="1:10">
      <c r="A61" s="455" t="s">
        <v>229</v>
      </c>
      <c r="B61" s="27">
        <f>整車!E61</f>
        <v>1625</v>
      </c>
      <c r="C61" s="89">
        <f>VLOOKUP(A61,[7]進出口值表查詢結果!$A$2:$C$80,3,0)</f>
        <v>2947</v>
      </c>
      <c r="D61" s="512">
        <f t="shared" si="0"/>
        <v>-0.44859178825924667</v>
      </c>
      <c r="E61" s="27">
        <f>整車!G61</f>
        <v>3307003</v>
      </c>
      <c r="F61" s="89">
        <f>VLOOKUP(A61,[7]進出口值表查詢結果!$A$2:$C$80,2,0)</f>
        <v>4454664</v>
      </c>
      <c r="G61" s="512">
        <f t="shared" si="1"/>
        <v>-0.2576313275254879</v>
      </c>
      <c r="H61" s="87">
        <f t="shared" si="5"/>
        <v>2035.0787692307692</v>
      </c>
      <c r="I61" s="88">
        <f t="shared" si="6"/>
        <v>1511.5928062436376</v>
      </c>
      <c r="J61" s="512">
        <f t="shared" si="4"/>
        <v>0.34631414017377671</v>
      </c>
    </row>
    <row r="62" spans="1:10">
      <c r="A62" s="454" t="s">
        <v>28</v>
      </c>
      <c r="B62" s="27">
        <f>整車!E62</f>
        <v>2049</v>
      </c>
      <c r="C62" s="89">
        <f>VLOOKUP(A62,[7]進出口值表查詢結果!$A$2:$C$80,3,0)</f>
        <v>3291</v>
      </c>
      <c r="D62" s="512">
        <f t="shared" si="0"/>
        <v>-0.37739288969917956</v>
      </c>
      <c r="E62" s="27">
        <f>整車!G62</f>
        <v>3337476</v>
      </c>
      <c r="F62" s="89">
        <f>VLOOKUP(A62,[7]進出口值表查詢結果!$A$2:$C$80,2,0)</f>
        <v>4689957</v>
      </c>
      <c r="G62" s="512">
        <f t="shared" si="1"/>
        <v>-0.28837812372266952</v>
      </c>
      <c r="H62" s="87">
        <f t="shared" si="5"/>
        <v>1628.8316251830161</v>
      </c>
      <c r="I62" s="88">
        <f t="shared" si="6"/>
        <v>1425.0856882406563</v>
      </c>
      <c r="J62" s="512">
        <f t="shared" si="4"/>
        <v>0.14297100772508278</v>
      </c>
    </row>
    <row r="63" spans="1:10">
      <c r="A63" s="294" t="s">
        <v>230</v>
      </c>
      <c r="B63" s="27">
        <f>整車!E63</f>
        <v>58</v>
      </c>
      <c r="C63" s="89">
        <f>VLOOKUP(A63,[7]進出口值表查詢結果!$A$2:$C$80,3,0)</f>
        <v>1291</v>
      </c>
      <c r="D63" s="512">
        <f t="shared" si="0"/>
        <v>-0.95507358636715722</v>
      </c>
      <c r="E63" s="27">
        <f>整車!G63</f>
        <v>183137</v>
      </c>
      <c r="F63" s="89">
        <f>VLOOKUP(A63,[7]進出口值表查詢結果!$A$2:$C$80,2,0)</f>
        <v>1490532</v>
      </c>
      <c r="G63" s="512">
        <f t="shared" si="1"/>
        <v>-0.87713313098947221</v>
      </c>
      <c r="H63" s="87">
        <f t="shared" si="5"/>
        <v>3157.5344827586205</v>
      </c>
      <c r="I63" s="88">
        <f t="shared" si="6"/>
        <v>1154.5561580170411</v>
      </c>
      <c r="J63" s="512">
        <f t="shared" si="4"/>
        <v>1.7348470326308854</v>
      </c>
    </row>
    <row r="64" spans="1:10">
      <c r="A64" s="454" t="s">
        <v>29</v>
      </c>
      <c r="B64" s="27">
        <f>整車!E64</f>
        <v>686</v>
      </c>
      <c r="C64" s="89">
        <f>VLOOKUP(A64,[7]進出口值表查詢結果!$A$2:$C$80,3,0)</f>
        <v>2238</v>
      </c>
      <c r="D64" s="512">
        <f t="shared" si="0"/>
        <v>-0.69347631814119748</v>
      </c>
      <c r="E64" s="27">
        <f>整車!G64</f>
        <v>1236709</v>
      </c>
      <c r="F64" s="89">
        <f>VLOOKUP(A64,[7]進出口值表查詢結果!$A$2:$C$80,2,0)</f>
        <v>3380488</v>
      </c>
      <c r="G64" s="512">
        <f t="shared" si="1"/>
        <v>-0.63416258244371815</v>
      </c>
      <c r="H64" s="87">
        <f t="shared" si="5"/>
        <v>1802.7827988338192</v>
      </c>
      <c r="I64" s="88">
        <f t="shared" si="6"/>
        <v>1510.4950848972296</v>
      </c>
      <c r="J64" s="512">
        <f t="shared" si="4"/>
        <v>0.19350457797515849</v>
      </c>
    </row>
    <row r="65" spans="1:10">
      <c r="A65" s="294" t="s">
        <v>231</v>
      </c>
      <c r="B65" s="27">
        <f>整車!E65</f>
        <v>1278</v>
      </c>
      <c r="C65" s="89">
        <f>VLOOKUP(A65,[7]進出口值表查詢結果!$A$2:$C$80,3,0)</f>
        <v>1776</v>
      </c>
      <c r="D65" s="512">
        <f t="shared" si="0"/>
        <v>-0.28040540540540543</v>
      </c>
      <c r="E65" s="27">
        <f>整車!G65</f>
        <v>968933</v>
      </c>
      <c r="F65" s="89">
        <f>VLOOKUP(A65,[7]進出口值表查詢結果!$A$2:$C$80,2,0)</f>
        <v>2295185</v>
      </c>
      <c r="G65" s="512">
        <f t="shared" si="1"/>
        <v>-0.57784100192359222</v>
      </c>
      <c r="H65" s="87">
        <f t="shared" si="5"/>
        <v>758.16353677621282</v>
      </c>
      <c r="I65" s="88">
        <f t="shared" si="6"/>
        <v>1292.3338963963963</v>
      </c>
      <c r="J65" s="512">
        <f t="shared" si="4"/>
        <v>-0.4133377303726915</v>
      </c>
    </row>
    <row r="66" spans="1:10">
      <c r="A66" s="30" t="s">
        <v>30</v>
      </c>
      <c r="B66" s="27">
        <f>B67-B47-B41-B12-B7</f>
        <v>11280</v>
      </c>
      <c r="C66" s="90">
        <f>[6]整車出口比較!C66</f>
        <v>15595</v>
      </c>
      <c r="D66" s="512">
        <f t="shared" si="0"/>
        <v>-0.27669124719461363</v>
      </c>
      <c r="E66" s="27">
        <f>E67-E47-E41-E12-E7</f>
        <v>13682669</v>
      </c>
      <c r="F66" s="90">
        <f>[6]整車出口比較!F66</f>
        <v>18191676</v>
      </c>
      <c r="G66" s="512">
        <f t="shared" si="1"/>
        <v>-0.24786099972317008</v>
      </c>
      <c r="H66" s="87">
        <f t="shared" si="5"/>
        <v>1213.0025709219858</v>
      </c>
      <c r="I66" s="88">
        <f t="shared" si="6"/>
        <v>1166.5069573581277</v>
      </c>
      <c r="J66" s="512">
        <f t="shared" si="4"/>
        <v>3.9858839478471762E-2</v>
      </c>
    </row>
    <row r="67" spans="1:10">
      <c r="A67" s="32" t="s">
        <v>401</v>
      </c>
      <c r="B67" s="33">
        <f>整車!E67</f>
        <v>545462</v>
      </c>
      <c r="C67" s="89">
        <f>VLOOKUP(A67,[7]進出口值表查詢結果!$A$2:$C$80,3,0)</f>
        <v>674333</v>
      </c>
      <c r="D67" s="512">
        <f t="shared" si="0"/>
        <v>-0.19110884385014526</v>
      </c>
      <c r="E67" s="33">
        <f>整車!G67</f>
        <v>509815025</v>
      </c>
      <c r="F67" s="89">
        <f>VLOOKUP(A67,[7]進出口值表查詢結果!$A$2:$C$80,2,0)</f>
        <v>481768561</v>
      </c>
      <c r="G67" s="512">
        <f t="shared" si="1"/>
        <v>5.8215637694963664E-2</v>
      </c>
      <c r="H67" s="87">
        <f t="shared" si="5"/>
        <v>934.64810564255617</v>
      </c>
      <c r="I67" s="88">
        <f t="shared" si="6"/>
        <v>714.43717124921955</v>
      </c>
      <c r="J67" s="512">
        <f t="shared" si="4"/>
        <v>0.30822995114922386</v>
      </c>
    </row>
    <row r="68" spans="1:10">
      <c r="A68" s="96"/>
      <c r="B68" s="97"/>
      <c r="C68" s="98"/>
      <c r="D68" s="99"/>
      <c r="E68" s="97"/>
      <c r="F68" s="98"/>
      <c r="G68" s="100"/>
      <c r="H68" s="94"/>
      <c r="I68" s="94"/>
      <c r="J68" s="95"/>
    </row>
    <row r="69" spans="1:10">
      <c r="A69" s="101" t="s">
        <v>153</v>
      </c>
      <c r="B69" s="102"/>
      <c r="C69" s="103"/>
      <c r="D69" s="104"/>
      <c r="E69" s="102"/>
      <c r="F69" s="103"/>
      <c r="G69" s="105"/>
      <c r="H69" s="94"/>
      <c r="I69" s="94"/>
      <c r="J69" s="95"/>
    </row>
    <row r="70" spans="1:10">
      <c r="A70" s="70" t="s">
        <v>485</v>
      </c>
      <c r="B70" s="8" t="s">
        <v>421</v>
      </c>
      <c r="C70" s="71" t="s">
        <v>422</v>
      </c>
      <c r="D70" s="72" t="s">
        <v>159</v>
      </c>
      <c r="E70" s="8" t="s">
        <v>421</v>
      </c>
      <c r="F70" s="71" t="s">
        <v>422</v>
      </c>
      <c r="G70" s="74" t="s">
        <v>160</v>
      </c>
      <c r="H70" s="8" t="s">
        <v>421</v>
      </c>
      <c r="I70" s="71" t="s">
        <v>422</v>
      </c>
      <c r="J70" s="75" t="s">
        <v>37</v>
      </c>
    </row>
    <row r="71" spans="1:10">
      <c r="A71" s="46"/>
      <c r="B71" s="106" t="s">
        <v>33</v>
      </c>
      <c r="C71" s="107" t="s">
        <v>33</v>
      </c>
      <c r="D71" s="449" t="s">
        <v>2</v>
      </c>
      <c r="E71" s="48" t="s">
        <v>34</v>
      </c>
      <c r="F71" s="107" t="s">
        <v>34</v>
      </c>
      <c r="G71" s="450" t="s">
        <v>2</v>
      </c>
      <c r="H71" s="78" t="s">
        <v>35</v>
      </c>
      <c r="I71" s="79" t="s">
        <v>110</v>
      </c>
      <c r="J71" s="449" t="s">
        <v>2</v>
      </c>
    </row>
    <row r="72" spans="1:10">
      <c r="A72" s="32" t="s">
        <v>31</v>
      </c>
      <c r="B72" s="33">
        <f>整車!E72</f>
        <v>11560</v>
      </c>
      <c r="C72" s="89">
        <v>15271</v>
      </c>
      <c r="D72" s="86">
        <f>(B72-C72)/C72</f>
        <v>-0.24300962608866478</v>
      </c>
      <c r="E72" s="33">
        <f>整車!G72</f>
        <v>4887656</v>
      </c>
      <c r="F72" s="89">
        <v>5777886</v>
      </c>
      <c r="G72" s="93">
        <f>(E72-F72)/F72</f>
        <v>-0.15407538328032086</v>
      </c>
      <c r="H72" s="87">
        <f t="shared" ref="H72" si="7">IF(B72,E72/B72,0)</f>
        <v>422.80761245674739</v>
      </c>
      <c r="I72" s="88">
        <f t="shared" ref="I72" si="8">IF(C72,F72/C72,0)</f>
        <v>378.35675463296445</v>
      </c>
      <c r="J72" s="92">
        <f>(H72-I72)/I72</f>
        <v>0.1174839811354861</v>
      </c>
    </row>
    <row r="73" spans="1:10" ht="9" customHeight="1">
      <c r="A73" s="108"/>
      <c r="B73" s="109"/>
      <c r="C73" s="110"/>
      <c r="D73" s="109"/>
      <c r="E73" s="109"/>
      <c r="F73" s="109"/>
      <c r="G73" s="109"/>
      <c r="H73" s="109"/>
      <c r="I73" s="109"/>
      <c r="J73" s="109"/>
    </row>
    <row r="74" spans="1:10" s="109" customFormat="1">
      <c r="A74" s="54" t="s">
        <v>32</v>
      </c>
      <c r="B74" s="13"/>
      <c r="C74" s="59"/>
      <c r="D74" s="60"/>
      <c r="E74" s="13"/>
      <c r="F74" s="59"/>
      <c r="G74" s="60"/>
      <c r="H74" s="5"/>
      <c r="I74" s="5"/>
      <c r="J74" s="5"/>
    </row>
  </sheetData>
  <mergeCells count="1">
    <mergeCell ref="A1:J1"/>
  </mergeCells>
  <phoneticPr fontId="3" type="noConversion"/>
  <conditionalFormatting sqref="D2:D4 J6:J70 D72:D1048576">
    <cfRule type="cellIs" dxfId="72" priority="9" operator="greaterThanOrEqual">
      <formula>0</formula>
    </cfRule>
    <cfRule type="cellIs" dxfId="71" priority="10" operator="lessThan">
      <formula>0</formula>
    </cfRule>
  </conditionalFormatting>
  <conditionalFormatting sqref="D6:D70">
    <cfRule type="cellIs" dxfId="70" priority="3" operator="greaterThanOrEqual">
      <formula>0</formula>
    </cfRule>
    <cfRule type="cellIs" dxfId="69" priority="4" operator="lessThan">
      <formula>0</formula>
    </cfRule>
  </conditionalFormatting>
  <conditionalFormatting sqref="G2:G4 G72:G1048576">
    <cfRule type="cellIs" dxfId="68" priority="7" operator="greaterThanOrEqual">
      <formula>0</formula>
    </cfRule>
    <cfRule type="cellIs" dxfId="67" priority="8" operator="lessThan">
      <formula>0</formula>
    </cfRule>
  </conditionalFormatting>
  <conditionalFormatting sqref="G6:G70">
    <cfRule type="cellIs" dxfId="66" priority="1" operator="greaterThanOrEqual">
      <formula>0</formula>
    </cfRule>
    <cfRule type="cellIs" dxfId="65" priority="2" operator="lessThan">
      <formula>0</formula>
    </cfRule>
  </conditionalFormatting>
  <conditionalFormatting sqref="J2:J3 J72:J1048576">
    <cfRule type="cellIs" dxfId="64" priority="5" operator="greaterThanOrEqual">
      <formula>0</formula>
    </cfRule>
    <cfRule type="cellIs" dxfId="63" priority="6" operator="lessThan">
      <formula>0</formula>
    </cfRule>
  </conditionalFormatting>
  <pageMargins left="0.51181102362204722" right="0.31496062992125984" top="0.15748031496062992" bottom="0.15748031496062992" header="0.31496062992125984" footer="0.31496062992125984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2"/>
  <sheetViews>
    <sheetView topLeftCell="B1" zoomScaleNormal="100" workbookViewId="0">
      <selection activeCell="B15" sqref="B15"/>
    </sheetView>
  </sheetViews>
  <sheetFormatPr defaultRowHeight="16.5"/>
  <cols>
    <col min="1" max="1" width="6.5" style="96" customWidth="1"/>
    <col min="2" max="2" width="16.125" style="5" customWidth="1"/>
    <col min="3" max="3" width="13.875" style="5" customWidth="1"/>
    <col min="4" max="4" width="13.5" style="5" customWidth="1"/>
    <col min="5" max="6" width="14.375" style="5" customWidth="1"/>
    <col min="7" max="7" width="14.125" style="5" customWidth="1"/>
    <col min="8" max="9" width="13.5" style="5" customWidth="1"/>
    <col min="10" max="10" width="9.375" style="5" customWidth="1"/>
    <col min="11" max="11" width="8.875" style="5"/>
    <col min="12" max="12" width="11.875" style="5" customWidth="1"/>
    <col min="13" max="254" width="8.875" style="5"/>
    <col min="255" max="255" width="6.5" style="5" customWidth="1"/>
    <col min="256" max="256" width="16.75" style="5" customWidth="1"/>
    <col min="257" max="257" width="13.875" style="5" customWidth="1"/>
    <col min="258" max="258" width="13.5" style="5" customWidth="1"/>
    <col min="259" max="260" width="14.375" style="5" customWidth="1"/>
    <col min="261" max="261" width="14.125" style="5" customWidth="1"/>
    <col min="262" max="263" width="13.5" style="5" customWidth="1"/>
    <col min="264" max="264" width="13.875" style="5" customWidth="1"/>
    <col min="265" max="510" width="8.875" style="5"/>
    <col min="511" max="511" width="6.5" style="5" customWidth="1"/>
    <col min="512" max="512" width="16.75" style="5" customWidth="1"/>
    <col min="513" max="513" width="13.875" style="5" customWidth="1"/>
    <col min="514" max="514" width="13.5" style="5" customWidth="1"/>
    <col min="515" max="516" width="14.375" style="5" customWidth="1"/>
    <col min="517" max="517" width="14.125" style="5" customWidth="1"/>
    <col min="518" max="519" width="13.5" style="5" customWidth="1"/>
    <col min="520" max="520" width="13.875" style="5" customWidth="1"/>
    <col min="521" max="766" width="8.875" style="5"/>
    <col min="767" max="767" width="6.5" style="5" customWidth="1"/>
    <col min="768" max="768" width="16.75" style="5" customWidth="1"/>
    <col min="769" max="769" width="13.875" style="5" customWidth="1"/>
    <col min="770" max="770" width="13.5" style="5" customWidth="1"/>
    <col min="771" max="772" width="14.375" style="5" customWidth="1"/>
    <col min="773" max="773" width="14.125" style="5" customWidth="1"/>
    <col min="774" max="775" width="13.5" style="5" customWidth="1"/>
    <col min="776" max="776" width="13.875" style="5" customWidth="1"/>
    <col min="777" max="1022" width="8.875" style="5"/>
    <col min="1023" max="1023" width="6.5" style="5" customWidth="1"/>
    <col min="1024" max="1024" width="16.75" style="5" customWidth="1"/>
    <col min="1025" max="1025" width="13.875" style="5" customWidth="1"/>
    <col min="1026" max="1026" width="13.5" style="5" customWidth="1"/>
    <col min="1027" max="1028" width="14.375" style="5" customWidth="1"/>
    <col min="1029" max="1029" width="14.125" style="5" customWidth="1"/>
    <col min="1030" max="1031" width="13.5" style="5" customWidth="1"/>
    <col min="1032" max="1032" width="13.875" style="5" customWidth="1"/>
    <col min="1033" max="1278" width="8.875" style="5"/>
    <col min="1279" max="1279" width="6.5" style="5" customWidth="1"/>
    <col min="1280" max="1280" width="16.75" style="5" customWidth="1"/>
    <col min="1281" max="1281" width="13.875" style="5" customWidth="1"/>
    <col min="1282" max="1282" width="13.5" style="5" customWidth="1"/>
    <col min="1283" max="1284" width="14.375" style="5" customWidth="1"/>
    <col min="1285" max="1285" width="14.125" style="5" customWidth="1"/>
    <col min="1286" max="1287" width="13.5" style="5" customWidth="1"/>
    <col min="1288" max="1288" width="13.875" style="5" customWidth="1"/>
    <col min="1289" max="1534" width="8.875" style="5"/>
    <col min="1535" max="1535" width="6.5" style="5" customWidth="1"/>
    <col min="1536" max="1536" width="16.75" style="5" customWidth="1"/>
    <col min="1537" max="1537" width="13.875" style="5" customWidth="1"/>
    <col min="1538" max="1538" width="13.5" style="5" customWidth="1"/>
    <col min="1539" max="1540" width="14.375" style="5" customWidth="1"/>
    <col min="1541" max="1541" width="14.125" style="5" customWidth="1"/>
    <col min="1542" max="1543" width="13.5" style="5" customWidth="1"/>
    <col min="1544" max="1544" width="13.875" style="5" customWidth="1"/>
    <col min="1545" max="1790" width="8.875" style="5"/>
    <col min="1791" max="1791" width="6.5" style="5" customWidth="1"/>
    <col min="1792" max="1792" width="16.75" style="5" customWidth="1"/>
    <col min="1793" max="1793" width="13.875" style="5" customWidth="1"/>
    <col min="1794" max="1794" width="13.5" style="5" customWidth="1"/>
    <col min="1795" max="1796" width="14.375" style="5" customWidth="1"/>
    <col min="1797" max="1797" width="14.125" style="5" customWidth="1"/>
    <col min="1798" max="1799" width="13.5" style="5" customWidth="1"/>
    <col min="1800" max="1800" width="13.875" style="5" customWidth="1"/>
    <col min="1801" max="2046" width="8.875" style="5"/>
    <col min="2047" max="2047" width="6.5" style="5" customWidth="1"/>
    <col min="2048" max="2048" width="16.75" style="5" customWidth="1"/>
    <col min="2049" max="2049" width="13.875" style="5" customWidth="1"/>
    <col min="2050" max="2050" width="13.5" style="5" customWidth="1"/>
    <col min="2051" max="2052" width="14.375" style="5" customWidth="1"/>
    <col min="2053" max="2053" width="14.125" style="5" customWidth="1"/>
    <col min="2054" max="2055" width="13.5" style="5" customWidth="1"/>
    <col min="2056" max="2056" width="13.875" style="5" customWidth="1"/>
    <col min="2057" max="2302" width="8.875" style="5"/>
    <col min="2303" max="2303" width="6.5" style="5" customWidth="1"/>
    <col min="2304" max="2304" width="16.75" style="5" customWidth="1"/>
    <col min="2305" max="2305" width="13.875" style="5" customWidth="1"/>
    <col min="2306" max="2306" width="13.5" style="5" customWidth="1"/>
    <col min="2307" max="2308" width="14.375" style="5" customWidth="1"/>
    <col min="2309" max="2309" width="14.125" style="5" customWidth="1"/>
    <col min="2310" max="2311" width="13.5" style="5" customWidth="1"/>
    <col min="2312" max="2312" width="13.875" style="5" customWidth="1"/>
    <col min="2313" max="2558" width="8.875" style="5"/>
    <col min="2559" max="2559" width="6.5" style="5" customWidth="1"/>
    <col min="2560" max="2560" width="16.75" style="5" customWidth="1"/>
    <col min="2561" max="2561" width="13.875" style="5" customWidth="1"/>
    <col min="2562" max="2562" width="13.5" style="5" customWidth="1"/>
    <col min="2563" max="2564" width="14.375" style="5" customWidth="1"/>
    <col min="2565" max="2565" width="14.125" style="5" customWidth="1"/>
    <col min="2566" max="2567" width="13.5" style="5" customWidth="1"/>
    <col min="2568" max="2568" width="13.875" style="5" customWidth="1"/>
    <col min="2569" max="2814" width="8.875" style="5"/>
    <col min="2815" max="2815" width="6.5" style="5" customWidth="1"/>
    <col min="2816" max="2816" width="16.75" style="5" customWidth="1"/>
    <col min="2817" max="2817" width="13.875" style="5" customWidth="1"/>
    <col min="2818" max="2818" width="13.5" style="5" customWidth="1"/>
    <col min="2819" max="2820" width="14.375" style="5" customWidth="1"/>
    <col min="2821" max="2821" width="14.125" style="5" customWidth="1"/>
    <col min="2822" max="2823" width="13.5" style="5" customWidth="1"/>
    <col min="2824" max="2824" width="13.875" style="5" customWidth="1"/>
    <col min="2825" max="3070" width="8.875" style="5"/>
    <col min="3071" max="3071" width="6.5" style="5" customWidth="1"/>
    <col min="3072" max="3072" width="16.75" style="5" customWidth="1"/>
    <col min="3073" max="3073" width="13.875" style="5" customWidth="1"/>
    <col min="3074" max="3074" width="13.5" style="5" customWidth="1"/>
    <col min="3075" max="3076" width="14.375" style="5" customWidth="1"/>
    <col min="3077" max="3077" width="14.125" style="5" customWidth="1"/>
    <col min="3078" max="3079" width="13.5" style="5" customWidth="1"/>
    <col min="3080" max="3080" width="13.875" style="5" customWidth="1"/>
    <col min="3081" max="3326" width="8.875" style="5"/>
    <col min="3327" max="3327" width="6.5" style="5" customWidth="1"/>
    <col min="3328" max="3328" width="16.75" style="5" customWidth="1"/>
    <col min="3329" max="3329" width="13.875" style="5" customWidth="1"/>
    <col min="3330" max="3330" width="13.5" style="5" customWidth="1"/>
    <col min="3331" max="3332" width="14.375" style="5" customWidth="1"/>
    <col min="3333" max="3333" width="14.125" style="5" customWidth="1"/>
    <col min="3334" max="3335" width="13.5" style="5" customWidth="1"/>
    <col min="3336" max="3336" width="13.875" style="5" customWidth="1"/>
    <col min="3337" max="3582" width="8.875" style="5"/>
    <col min="3583" max="3583" width="6.5" style="5" customWidth="1"/>
    <col min="3584" max="3584" width="16.75" style="5" customWidth="1"/>
    <col min="3585" max="3585" width="13.875" style="5" customWidth="1"/>
    <col min="3586" max="3586" width="13.5" style="5" customWidth="1"/>
    <col min="3587" max="3588" width="14.375" style="5" customWidth="1"/>
    <col min="3589" max="3589" width="14.125" style="5" customWidth="1"/>
    <col min="3590" max="3591" width="13.5" style="5" customWidth="1"/>
    <col min="3592" max="3592" width="13.875" style="5" customWidth="1"/>
    <col min="3593" max="3838" width="8.875" style="5"/>
    <col min="3839" max="3839" width="6.5" style="5" customWidth="1"/>
    <col min="3840" max="3840" width="16.75" style="5" customWidth="1"/>
    <col min="3841" max="3841" width="13.875" style="5" customWidth="1"/>
    <col min="3842" max="3842" width="13.5" style="5" customWidth="1"/>
    <col min="3843" max="3844" width="14.375" style="5" customWidth="1"/>
    <col min="3845" max="3845" width="14.125" style="5" customWidth="1"/>
    <col min="3846" max="3847" width="13.5" style="5" customWidth="1"/>
    <col min="3848" max="3848" width="13.875" style="5" customWidth="1"/>
    <col min="3849" max="4094" width="8.875" style="5"/>
    <col min="4095" max="4095" width="6.5" style="5" customWidth="1"/>
    <col min="4096" max="4096" width="16.75" style="5" customWidth="1"/>
    <col min="4097" max="4097" width="13.875" style="5" customWidth="1"/>
    <col min="4098" max="4098" width="13.5" style="5" customWidth="1"/>
    <col min="4099" max="4100" width="14.375" style="5" customWidth="1"/>
    <col min="4101" max="4101" width="14.125" style="5" customWidth="1"/>
    <col min="4102" max="4103" width="13.5" style="5" customWidth="1"/>
    <col min="4104" max="4104" width="13.875" style="5" customWidth="1"/>
    <col min="4105" max="4350" width="8.875" style="5"/>
    <col min="4351" max="4351" width="6.5" style="5" customWidth="1"/>
    <col min="4352" max="4352" width="16.75" style="5" customWidth="1"/>
    <col min="4353" max="4353" width="13.875" style="5" customWidth="1"/>
    <col min="4354" max="4354" width="13.5" style="5" customWidth="1"/>
    <col min="4355" max="4356" width="14.375" style="5" customWidth="1"/>
    <col min="4357" max="4357" width="14.125" style="5" customWidth="1"/>
    <col min="4358" max="4359" width="13.5" style="5" customWidth="1"/>
    <col min="4360" max="4360" width="13.875" style="5" customWidth="1"/>
    <col min="4361" max="4606" width="8.875" style="5"/>
    <col min="4607" max="4607" width="6.5" style="5" customWidth="1"/>
    <col min="4608" max="4608" width="16.75" style="5" customWidth="1"/>
    <col min="4609" max="4609" width="13.875" style="5" customWidth="1"/>
    <col min="4610" max="4610" width="13.5" style="5" customWidth="1"/>
    <col min="4611" max="4612" width="14.375" style="5" customWidth="1"/>
    <col min="4613" max="4613" width="14.125" style="5" customWidth="1"/>
    <col min="4614" max="4615" width="13.5" style="5" customWidth="1"/>
    <col min="4616" max="4616" width="13.875" style="5" customWidth="1"/>
    <col min="4617" max="4862" width="8.875" style="5"/>
    <col min="4863" max="4863" width="6.5" style="5" customWidth="1"/>
    <col min="4864" max="4864" width="16.75" style="5" customWidth="1"/>
    <col min="4865" max="4865" width="13.875" style="5" customWidth="1"/>
    <col min="4866" max="4866" width="13.5" style="5" customWidth="1"/>
    <col min="4867" max="4868" width="14.375" style="5" customWidth="1"/>
    <col min="4869" max="4869" width="14.125" style="5" customWidth="1"/>
    <col min="4870" max="4871" width="13.5" style="5" customWidth="1"/>
    <col min="4872" max="4872" width="13.875" style="5" customWidth="1"/>
    <col min="4873" max="5118" width="8.875" style="5"/>
    <col min="5119" max="5119" width="6.5" style="5" customWidth="1"/>
    <col min="5120" max="5120" width="16.75" style="5" customWidth="1"/>
    <col min="5121" max="5121" width="13.875" style="5" customWidth="1"/>
    <col min="5122" max="5122" width="13.5" style="5" customWidth="1"/>
    <col min="5123" max="5124" width="14.375" style="5" customWidth="1"/>
    <col min="5125" max="5125" width="14.125" style="5" customWidth="1"/>
    <col min="5126" max="5127" width="13.5" style="5" customWidth="1"/>
    <col min="5128" max="5128" width="13.875" style="5" customWidth="1"/>
    <col min="5129" max="5374" width="8.875" style="5"/>
    <col min="5375" max="5375" width="6.5" style="5" customWidth="1"/>
    <col min="5376" max="5376" width="16.75" style="5" customWidth="1"/>
    <col min="5377" max="5377" width="13.875" style="5" customWidth="1"/>
    <col min="5378" max="5378" width="13.5" style="5" customWidth="1"/>
    <col min="5379" max="5380" width="14.375" style="5" customWidth="1"/>
    <col min="5381" max="5381" width="14.125" style="5" customWidth="1"/>
    <col min="5382" max="5383" width="13.5" style="5" customWidth="1"/>
    <col min="5384" max="5384" width="13.875" style="5" customWidth="1"/>
    <col min="5385" max="5630" width="8.875" style="5"/>
    <col min="5631" max="5631" width="6.5" style="5" customWidth="1"/>
    <col min="5632" max="5632" width="16.75" style="5" customWidth="1"/>
    <col min="5633" max="5633" width="13.875" style="5" customWidth="1"/>
    <col min="5634" max="5634" width="13.5" style="5" customWidth="1"/>
    <col min="5635" max="5636" width="14.375" style="5" customWidth="1"/>
    <col min="5637" max="5637" width="14.125" style="5" customWidth="1"/>
    <col min="5638" max="5639" width="13.5" style="5" customWidth="1"/>
    <col min="5640" max="5640" width="13.875" style="5" customWidth="1"/>
    <col min="5641" max="5886" width="8.875" style="5"/>
    <col min="5887" max="5887" width="6.5" style="5" customWidth="1"/>
    <col min="5888" max="5888" width="16.75" style="5" customWidth="1"/>
    <col min="5889" max="5889" width="13.875" style="5" customWidth="1"/>
    <col min="5890" max="5890" width="13.5" style="5" customWidth="1"/>
    <col min="5891" max="5892" width="14.375" style="5" customWidth="1"/>
    <col min="5893" max="5893" width="14.125" style="5" customWidth="1"/>
    <col min="5894" max="5895" width="13.5" style="5" customWidth="1"/>
    <col min="5896" max="5896" width="13.875" style="5" customWidth="1"/>
    <col min="5897" max="6142" width="8.875" style="5"/>
    <col min="6143" max="6143" width="6.5" style="5" customWidth="1"/>
    <col min="6144" max="6144" width="16.75" style="5" customWidth="1"/>
    <col min="6145" max="6145" width="13.875" style="5" customWidth="1"/>
    <col min="6146" max="6146" width="13.5" style="5" customWidth="1"/>
    <col min="6147" max="6148" width="14.375" style="5" customWidth="1"/>
    <col min="6149" max="6149" width="14.125" style="5" customWidth="1"/>
    <col min="6150" max="6151" width="13.5" style="5" customWidth="1"/>
    <col min="6152" max="6152" width="13.875" style="5" customWidth="1"/>
    <col min="6153" max="6398" width="8.875" style="5"/>
    <col min="6399" max="6399" width="6.5" style="5" customWidth="1"/>
    <col min="6400" max="6400" width="16.75" style="5" customWidth="1"/>
    <col min="6401" max="6401" width="13.875" style="5" customWidth="1"/>
    <col min="6402" max="6402" width="13.5" style="5" customWidth="1"/>
    <col min="6403" max="6404" width="14.375" style="5" customWidth="1"/>
    <col min="6405" max="6405" width="14.125" style="5" customWidth="1"/>
    <col min="6406" max="6407" width="13.5" style="5" customWidth="1"/>
    <col min="6408" max="6408" width="13.875" style="5" customWidth="1"/>
    <col min="6409" max="6654" width="8.875" style="5"/>
    <col min="6655" max="6655" width="6.5" style="5" customWidth="1"/>
    <col min="6656" max="6656" width="16.75" style="5" customWidth="1"/>
    <col min="6657" max="6657" width="13.875" style="5" customWidth="1"/>
    <col min="6658" max="6658" width="13.5" style="5" customWidth="1"/>
    <col min="6659" max="6660" width="14.375" style="5" customWidth="1"/>
    <col min="6661" max="6661" width="14.125" style="5" customWidth="1"/>
    <col min="6662" max="6663" width="13.5" style="5" customWidth="1"/>
    <col min="6664" max="6664" width="13.875" style="5" customWidth="1"/>
    <col min="6665" max="6910" width="8.875" style="5"/>
    <col min="6911" max="6911" width="6.5" style="5" customWidth="1"/>
    <col min="6912" max="6912" width="16.75" style="5" customWidth="1"/>
    <col min="6913" max="6913" width="13.875" style="5" customWidth="1"/>
    <col min="6914" max="6914" width="13.5" style="5" customWidth="1"/>
    <col min="6915" max="6916" width="14.375" style="5" customWidth="1"/>
    <col min="6917" max="6917" width="14.125" style="5" customWidth="1"/>
    <col min="6918" max="6919" width="13.5" style="5" customWidth="1"/>
    <col min="6920" max="6920" width="13.875" style="5" customWidth="1"/>
    <col min="6921" max="7166" width="8.875" style="5"/>
    <col min="7167" max="7167" width="6.5" style="5" customWidth="1"/>
    <col min="7168" max="7168" width="16.75" style="5" customWidth="1"/>
    <col min="7169" max="7169" width="13.875" style="5" customWidth="1"/>
    <col min="7170" max="7170" width="13.5" style="5" customWidth="1"/>
    <col min="7171" max="7172" width="14.375" style="5" customWidth="1"/>
    <col min="7173" max="7173" width="14.125" style="5" customWidth="1"/>
    <col min="7174" max="7175" width="13.5" style="5" customWidth="1"/>
    <col min="7176" max="7176" width="13.875" style="5" customWidth="1"/>
    <col min="7177" max="7422" width="8.875" style="5"/>
    <col min="7423" max="7423" width="6.5" style="5" customWidth="1"/>
    <col min="7424" max="7424" width="16.75" style="5" customWidth="1"/>
    <col min="7425" max="7425" width="13.875" style="5" customWidth="1"/>
    <col min="7426" max="7426" width="13.5" style="5" customWidth="1"/>
    <col min="7427" max="7428" width="14.375" style="5" customWidth="1"/>
    <col min="7429" max="7429" width="14.125" style="5" customWidth="1"/>
    <col min="7430" max="7431" width="13.5" style="5" customWidth="1"/>
    <col min="7432" max="7432" width="13.875" style="5" customWidth="1"/>
    <col min="7433" max="7678" width="8.875" style="5"/>
    <col min="7679" max="7679" width="6.5" style="5" customWidth="1"/>
    <col min="7680" max="7680" width="16.75" style="5" customWidth="1"/>
    <col min="7681" max="7681" width="13.875" style="5" customWidth="1"/>
    <col min="7682" max="7682" width="13.5" style="5" customWidth="1"/>
    <col min="7683" max="7684" width="14.375" style="5" customWidth="1"/>
    <col min="7685" max="7685" width="14.125" style="5" customWidth="1"/>
    <col min="7686" max="7687" width="13.5" style="5" customWidth="1"/>
    <col min="7688" max="7688" width="13.875" style="5" customWidth="1"/>
    <col min="7689" max="7934" width="8.875" style="5"/>
    <col min="7935" max="7935" width="6.5" style="5" customWidth="1"/>
    <col min="7936" max="7936" width="16.75" style="5" customWidth="1"/>
    <col min="7937" max="7937" width="13.875" style="5" customWidth="1"/>
    <col min="7938" max="7938" width="13.5" style="5" customWidth="1"/>
    <col min="7939" max="7940" width="14.375" style="5" customWidth="1"/>
    <col min="7941" max="7941" width="14.125" style="5" customWidth="1"/>
    <col min="7942" max="7943" width="13.5" style="5" customWidth="1"/>
    <col min="7944" max="7944" width="13.875" style="5" customWidth="1"/>
    <col min="7945" max="8190" width="8.875" style="5"/>
    <col min="8191" max="8191" width="6.5" style="5" customWidth="1"/>
    <col min="8192" max="8192" width="16.75" style="5" customWidth="1"/>
    <col min="8193" max="8193" width="13.875" style="5" customWidth="1"/>
    <col min="8194" max="8194" width="13.5" style="5" customWidth="1"/>
    <col min="8195" max="8196" width="14.375" style="5" customWidth="1"/>
    <col min="8197" max="8197" width="14.125" style="5" customWidth="1"/>
    <col min="8198" max="8199" width="13.5" style="5" customWidth="1"/>
    <col min="8200" max="8200" width="13.875" style="5" customWidth="1"/>
    <col min="8201" max="8446" width="8.875" style="5"/>
    <col min="8447" max="8447" width="6.5" style="5" customWidth="1"/>
    <col min="8448" max="8448" width="16.75" style="5" customWidth="1"/>
    <col min="8449" max="8449" width="13.875" style="5" customWidth="1"/>
    <col min="8450" max="8450" width="13.5" style="5" customWidth="1"/>
    <col min="8451" max="8452" width="14.375" style="5" customWidth="1"/>
    <col min="8453" max="8453" width="14.125" style="5" customWidth="1"/>
    <col min="8454" max="8455" width="13.5" style="5" customWidth="1"/>
    <col min="8456" max="8456" width="13.875" style="5" customWidth="1"/>
    <col min="8457" max="8702" width="8.875" style="5"/>
    <col min="8703" max="8703" width="6.5" style="5" customWidth="1"/>
    <col min="8704" max="8704" width="16.75" style="5" customWidth="1"/>
    <col min="8705" max="8705" width="13.875" style="5" customWidth="1"/>
    <col min="8706" max="8706" width="13.5" style="5" customWidth="1"/>
    <col min="8707" max="8708" width="14.375" style="5" customWidth="1"/>
    <col min="8709" max="8709" width="14.125" style="5" customWidth="1"/>
    <col min="8710" max="8711" width="13.5" style="5" customWidth="1"/>
    <col min="8712" max="8712" width="13.875" style="5" customWidth="1"/>
    <col min="8713" max="8958" width="8.875" style="5"/>
    <col min="8959" max="8959" width="6.5" style="5" customWidth="1"/>
    <col min="8960" max="8960" width="16.75" style="5" customWidth="1"/>
    <col min="8961" max="8961" width="13.875" style="5" customWidth="1"/>
    <col min="8962" max="8962" width="13.5" style="5" customWidth="1"/>
    <col min="8963" max="8964" width="14.375" style="5" customWidth="1"/>
    <col min="8965" max="8965" width="14.125" style="5" customWidth="1"/>
    <col min="8966" max="8967" width="13.5" style="5" customWidth="1"/>
    <col min="8968" max="8968" width="13.875" style="5" customWidth="1"/>
    <col min="8969" max="9214" width="8.875" style="5"/>
    <col min="9215" max="9215" width="6.5" style="5" customWidth="1"/>
    <col min="9216" max="9216" width="16.75" style="5" customWidth="1"/>
    <col min="9217" max="9217" width="13.875" style="5" customWidth="1"/>
    <col min="9218" max="9218" width="13.5" style="5" customWidth="1"/>
    <col min="9219" max="9220" width="14.375" style="5" customWidth="1"/>
    <col min="9221" max="9221" width="14.125" style="5" customWidth="1"/>
    <col min="9222" max="9223" width="13.5" style="5" customWidth="1"/>
    <col min="9224" max="9224" width="13.875" style="5" customWidth="1"/>
    <col min="9225" max="9470" width="8.875" style="5"/>
    <col min="9471" max="9471" width="6.5" style="5" customWidth="1"/>
    <col min="9472" max="9472" width="16.75" style="5" customWidth="1"/>
    <col min="9473" max="9473" width="13.875" style="5" customWidth="1"/>
    <col min="9474" max="9474" width="13.5" style="5" customWidth="1"/>
    <col min="9475" max="9476" width="14.375" style="5" customWidth="1"/>
    <col min="9477" max="9477" width="14.125" style="5" customWidth="1"/>
    <col min="9478" max="9479" width="13.5" style="5" customWidth="1"/>
    <col min="9480" max="9480" width="13.875" style="5" customWidth="1"/>
    <col min="9481" max="9726" width="8.875" style="5"/>
    <col min="9727" max="9727" width="6.5" style="5" customWidth="1"/>
    <col min="9728" max="9728" width="16.75" style="5" customWidth="1"/>
    <col min="9729" max="9729" width="13.875" style="5" customWidth="1"/>
    <col min="9730" max="9730" width="13.5" style="5" customWidth="1"/>
    <col min="9731" max="9732" width="14.375" style="5" customWidth="1"/>
    <col min="9733" max="9733" width="14.125" style="5" customWidth="1"/>
    <col min="9734" max="9735" width="13.5" style="5" customWidth="1"/>
    <col min="9736" max="9736" width="13.875" style="5" customWidth="1"/>
    <col min="9737" max="9982" width="8.875" style="5"/>
    <col min="9983" max="9983" width="6.5" style="5" customWidth="1"/>
    <col min="9984" max="9984" width="16.75" style="5" customWidth="1"/>
    <col min="9985" max="9985" width="13.875" style="5" customWidth="1"/>
    <col min="9986" max="9986" width="13.5" style="5" customWidth="1"/>
    <col min="9987" max="9988" width="14.375" style="5" customWidth="1"/>
    <col min="9989" max="9989" width="14.125" style="5" customWidth="1"/>
    <col min="9990" max="9991" width="13.5" style="5" customWidth="1"/>
    <col min="9992" max="9992" width="13.875" style="5" customWidth="1"/>
    <col min="9993" max="10238" width="8.875" style="5"/>
    <col min="10239" max="10239" width="6.5" style="5" customWidth="1"/>
    <col min="10240" max="10240" width="16.75" style="5" customWidth="1"/>
    <col min="10241" max="10241" width="13.875" style="5" customWidth="1"/>
    <col min="10242" max="10242" width="13.5" style="5" customWidth="1"/>
    <col min="10243" max="10244" width="14.375" style="5" customWidth="1"/>
    <col min="10245" max="10245" width="14.125" style="5" customWidth="1"/>
    <col min="10246" max="10247" width="13.5" style="5" customWidth="1"/>
    <col min="10248" max="10248" width="13.875" style="5" customWidth="1"/>
    <col min="10249" max="10494" width="8.875" style="5"/>
    <col min="10495" max="10495" width="6.5" style="5" customWidth="1"/>
    <col min="10496" max="10496" width="16.75" style="5" customWidth="1"/>
    <col min="10497" max="10497" width="13.875" style="5" customWidth="1"/>
    <col min="10498" max="10498" width="13.5" style="5" customWidth="1"/>
    <col min="10499" max="10500" width="14.375" style="5" customWidth="1"/>
    <col min="10501" max="10501" width="14.125" style="5" customWidth="1"/>
    <col min="10502" max="10503" width="13.5" style="5" customWidth="1"/>
    <col min="10504" max="10504" width="13.875" style="5" customWidth="1"/>
    <col min="10505" max="10750" width="8.875" style="5"/>
    <col min="10751" max="10751" width="6.5" style="5" customWidth="1"/>
    <col min="10752" max="10752" width="16.75" style="5" customWidth="1"/>
    <col min="10753" max="10753" width="13.875" style="5" customWidth="1"/>
    <col min="10754" max="10754" width="13.5" style="5" customWidth="1"/>
    <col min="10755" max="10756" width="14.375" style="5" customWidth="1"/>
    <col min="10757" max="10757" width="14.125" style="5" customWidth="1"/>
    <col min="10758" max="10759" width="13.5" style="5" customWidth="1"/>
    <col min="10760" max="10760" width="13.875" style="5" customWidth="1"/>
    <col min="10761" max="11006" width="8.875" style="5"/>
    <col min="11007" max="11007" width="6.5" style="5" customWidth="1"/>
    <col min="11008" max="11008" width="16.75" style="5" customWidth="1"/>
    <col min="11009" max="11009" width="13.875" style="5" customWidth="1"/>
    <col min="11010" max="11010" width="13.5" style="5" customWidth="1"/>
    <col min="11011" max="11012" width="14.375" style="5" customWidth="1"/>
    <col min="11013" max="11013" width="14.125" style="5" customWidth="1"/>
    <col min="11014" max="11015" width="13.5" style="5" customWidth="1"/>
    <col min="11016" max="11016" width="13.875" style="5" customWidth="1"/>
    <col min="11017" max="11262" width="8.875" style="5"/>
    <col min="11263" max="11263" width="6.5" style="5" customWidth="1"/>
    <col min="11264" max="11264" width="16.75" style="5" customWidth="1"/>
    <col min="11265" max="11265" width="13.875" style="5" customWidth="1"/>
    <col min="11266" max="11266" width="13.5" style="5" customWidth="1"/>
    <col min="11267" max="11268" width="14.375" style="5" customWidth="1"/>
    <col min="11269" max="11269" width="14.125" style="5" customWidth="1"/>
    <col min="11270" max="11271" width="13.5" style="5" customWidth="1"/>
    <col min="11272" max="11272" width="13.875" style="5" customWidth="1"/>
    <col min="11273" max="11518" width="8.875" style="5"/>
    <col min="11519" max="11519" width="6.5" style="5" customWidth="1"/>
    <col min="11520" max="11520" width="16.75" style="5" customWidth="1"/>
    <col min="11521" max="11521" width="13.875" style="5" customWidth="1"/>
    <col min="11522" max="11522" width="13.5" style="5" customWidth="1"/>
    <col min="11523" max="11524" width="14.375" style="5" customWidth="1"/>
    <col min="11525" max="11525" width="14.125" style="5" customWidth="1"/>
    <col min="11526" max="11527" width="13.5" style="5" customWidth="1"/>
    <col min="11528" max="11528" width="13.875" style="5" customWidth="1"/>
    <col min="11529" max="11774" width="8.875" style="5"/>
    <col min="11775" max="11775" width="6.5" style="5" customWidth="1"/>
    <col min="11776" max="11776" width="16.75" style="5" customWidth="1"/>
    <col min="11777" max="11777" width="13.875" style="5" customWidth="1"/>
    <col min="11778" max="11778" width="13.5" style="5" customWidth="1"/>
    <col min="11779" max="11780" width="14.375" style="5" customWidth="1"/>
    <col min="11781" max="11781" width="14.125" style="5" customWidth="1"/>
    <col min="11782" max="11783" width="13.5" style="5" customWidth="1"/>
    <col min="11784" max="11784" width="13.875" style="5" customWidth="1"/>
    <col min="11785" max="12030" width="8.875" style="5"/>
    <col min="12031" max="12031" width="6.5" style="5" customWidth="1"/>
    <col min="12032" max="12032" width="16.75" style="5" customWidth="1"/>
    <col min="12033" max="12033" width="13.875" style="5" customWidth="1"/>
    <col min="12034" max="12034" width="13.5" style="5" customWidth="1"/>
    <col min="12035" max="12036" width="14.375" style="5" customWidth="1"/>
    <col min="12037" max="12037" width="14.125" style="5" customWidth="1"/>
    <col min="12038" max="12039" width="13.5" style="5" customWidth="1"/>
    <col min="12040" max="12040" width="13.875" style="5" customWidth="1"/>
    <col min="12041" max="12286" width="8.875" style="5"/>
    <col min="12287" max="12287" width="6.5" style="5" customWidth="1"/>
    <col min="12288" max="12288" width="16.75" style="5" customWidth="1"/>
    <col min="12289" max="12289" width="13.875" style="5" customWidth="1"/>
    <col min="12290" max="12290" width="13.5" style="5" customWidth="1"/>
    <col min="12291" max="12292" width="14.375" style="5" customWidth="1"/>
    <col min="12293" max="12293" width="14.125" style="5" customWidth="1"/>
    <col min="12294" max="12295" width="13.5" style="5" customWidth="1"/>
    <col min="12296" max="12296" width="13.875" style="5" customWidth="1"/>
    <col min="12297" max="12542" width="8.875" style="5"/>
    <col min="12543" max="12543" width="6.5" style="5" customWidth="1"/>
    <col min="12544" max="12544" width="16.75" style="5" customWidth="1"/>
    <col min="12545" max="12545" width="13.875" style="5" customWidth="1"/>
    <col min="12546" max="12546" width="13.5" style="5" customWidth="1"/>
    <col min="12547" max="12548" width="14.375" style="5" customWidth="1"/>
    <col min="12549" max="12549" width="14.125" style="5" customWidth="1"/>
    <col min="12550" max="12551" width="13.5" style="5" customWidth="1"/>
    <col min="12552" max="12552" width="13.875" style="5" customWidth="1"/>
    <col min="12553" max="12798" width="8.875" style="5"/>
    <col min="12799" max="12799" width="6.5" style="5" customWidth="1"/>
    <col min="12800" max="12800" width="16.75" style="5" customWidth="1"/>
    <col min="12801" max="12801" width="13.875" style="5" customWidth="1"/>
    <col min="12802" max="12802" width="13.5" style="5" customWidth="1"/>
    <col min="12803" max="12804" width="14.375" style="5" customWidth="1"/>
    <col min="12805" max="12805" width="14.125" style="5" customWidth="1"/>
    <col min="12806" max="12807" width="13.5" style="5" customWidth="1"/>
    <col min="12808" max="12808" width="13.875" style="5" customWidth="1"/>
    <col min="12809" max="13054" width="8.875" style="5"/>
    <col min="13055" max="13055" width="6.5" style="5" customWidth="1"/>
    <col min="13056" max="13056" width="16.75" style="5" customWidth="1"/>
    <col min="13057" max="13057" width="13.875" style="5" customWidth="1"/>
    <col min="13058" max="13058" width="13.5" style="5" customWidth="1"/>
    <col min="13059" max="13060" width="14.375" style="5" customWidth="1"/>
    <col min="13061" max="13061" width="14.125" style="5" customWidth="1"/>
    <col min="13062" max="13063" width="13.5" style="5" customWidth="1"/>
    <col min="13064" max="13064" width="13.875" style="5" customWidth="1"/>
    <col min="13065" max="13310" width="8.875" style="5"/>
    <col min="13311" max="13311" width="6.5" style="5" customWidth="1"/>
    <col min="13312" max="13312" width="16.75" style="5" customWidth="1"/>
    <col min="13313" max="13313" width="13.875" style="5" customWidth="1"/>
    <col min="13314" max="13314" width="13.5" style="5" customWidth="1"/>
    <col min="13315" max="13316" width="14.375" style="5" customWidth="1"/>
    <col min="13317" max="13317" width="14.125" style="5" customWidth="1"/>
    <col min="13318" max="13319" width="13.5" style="5" customWidth="1"/>
    <col min="13320" max="13320" width="13.875" style="5" customWidth="1"/>
    <col min="13321" max="13566" width="8.875" style="5"/>
    <col min="13567" max="13567" width="6.5" style="5" customWidth="1"/>
    <col min="13568" max="13568" width="16.75" style="5" customWidth="1"/>
    <col min="13569" max="13569" width="13.875" style="5" customWidth="1"/>
    <col min="13570" max="13570" width="13.5" style="5" customWidth="1"/>
    <col min="13571" max="13572" width="14.375" style="5" customWidth="1"/>
    <col min="13573" max="13573" width="14.125" style="5" customWidth="1"/>
    <col min="13574" max="13575" width="13.5" style="5" customWidth="1"/>
    <col min="13576" max="13576" width="13.875" style="5" customWidth="1"/>
    <col min="13577" max="13822" width="8.875" style="5"/>
    <col min="13823" max="13823" width="6.5" style="5" customWidth="1"/>
    <col min="13824" max="13824" width="16.75" style="5" customWidth="1"/>
    <col min="13825" max="13825" width="13.875" style="5" customWidth="1"/>
    <col min="13826" max="13826" width="13.5" style="5" customWidth="1"/>
    <col min="13827" max="13828" width="14.375" style="5" customWidth="1"/>
    <col min="13829" max="13829" width="14.125" style="5" customWidth="1"/>
    <col min="13830" max="13831" width="13.5" style="5" customWidth="1"/>
    <col min="13832" max="13832" width="13.875" style="5" customWidth="1"/>
    <col min="13833" max="14078" width="8.875" style="5"/>
    <col min="14079" max="14079" width="6.5" style="5" customWidth="1"/>
    <col min="14080" max="14080" width="16.75" style="5" customWidth="1"/>
    <col min="14081" max="14081" width="13.875" style="5" customWidth="1"/>
    <col min="14082" max="14082" width="13.5" style="5" customWidth="1"/>
    <col min="14083" max="14084" width="14.375" style="5" customWidth="1"/>
    <col min="14085" max="14085" width="14.125" style="5" customWidth="1"/>
    <col min="14086" max="14087" width="13.5" style="5" customWidth="1"/>
    <col min="14088" max="14088" width="13.875" style="5" customWidth="1"/>
    <col min="14089" max="14334" width="8.875" style="5"/>
    <col min="14335" max="14335" width="6.5" style="5" customWidth="1"/>
    <col min="14336" max="14336" width="16.75" style="5" customWidth="1"/>
    <col min="14337" max="14337" width="13.875" style="5" customWidth="1"/>
    <col min="14338" max="14338" width="13.5" style="5" customWidth="1"/>
    <col min="14339" max="14340" width="14.375" style="5" customWidth="1"/>
    <col min="14341" max="14341" width="14.125" style="5" customWidth="1"/>
    <col min="14342" max="14343" width="13.5" style="5" customWidth="1"/>
    <col min="14344" max="14344" width="13.875" style="5" customWidth="1"/>
    <col min="14345" max="14590" width="8.875" style="5"/>
    <col min="14591" max="14591" width="6.5" style="5" customWidth="1"/>
    <col min="14592" max="14592" width="16.75" style="5" customWidth="1"/>
    <col min="14593" max="14593" width="13.875" style="5" customWidth="1"/>
    <col min="14594" max="14594" width="13.5" style="5" customWidth="1"/>
    <col min="14595" max="14596" width="14.375" style="5" customWidth="1"/>
    <col min="14597" max="14597" width="14.125" style="5" customWidth="1"/>
    <col min="14598" max="14599" width="13.5" style="5" customWidth="1"/>
    <col min="14600" max="14600" width="13.875" style="5" customWidth="1"/>
    <col min="14601" max="14846" width="8.875" style="5"/>
    <col min="14847" max="14847" width="6.5" style="5" customWidth="1"/>
    <col min="14848" max="14848" width="16.75" style="5" customWidth="1"/>
    <col min="14849" max="14849" width="13.875" style="5" customWidth="1"/>
    <col min="14850" max="14850" width="13.5" style="5" customWidth="1"/>
    <col min="14851" max="14852" width="14.375" style="5" customWidth="1"/>
    <col min="14853" max="14853" width="14.125" style="5" customWidth="1"/>
    <col min="14854" max="14855" width="13.5" style="5" customWidth="1"/>
    <col min="14856" max="14856" width="13.875" style="5" customWidth="1"/>
    <col min="14857" max="15102" width="8.875" style="5"/>
    <col min="15103" max="15103" width="6.5" style="5" customWidth="1"/>
    <col min="15104" max="15104" width="16.75" style="5" customWidth="1"/>
    <col min="15105" max="15105" width="13.875" style="5" customWidth="1"/>
    <col min="15106" max="15106" width="13.5" style="5" customWidth="1"/>
    <col min="15107" max="15108" width="14.375" style="5" customWidth="1"/>
    <col min="15109" max="15109" width="14.125" style="5" customWidth="1"/>
    <col min="15110" max="15111" width="13.5" style="5" customWidth="1"/>
    <col min="15112" max="15112" width="13.875" style="5" customWidth="1"/>
    <col min="15113" max="15358" width="8.875" style="5"/>
    <col min="15359" max="15359" width="6.5" style="5" customWidth="1"/>
    <col min="15360" max="15360" width="16.75" style="5" customWidth="1"/>
    <col min="15361" max="15361" width="13.875" style="5" customWidth="1"/>
    <col min="15362" max="15362" width="13.5" style="5" customWidth="1"/>
    <col min="15363" max="15364" width="14.375" style="5" customWidth="1"/>
    <col min="15365" max="15365" width="14.125" style="5" customWidth="1"/>
    <col min="15366" max="15367" width="13.5" style="5" customWidth="1"/>
    <col min="15368" max="15368" width="13.875" style="5" customWidth="1"/>
    <col min="15369" max="15614" width="8.875" style="5"/>
    <col min="15615" max="15615" width="6.5" style="5" customWidth="1"/>
    <col min="15616" max="15616" width="16.75" style="5" customWidth="1"/>
    <col min="15617" max="15617" width="13.875" style="5" customWidth="1"/>
    <col min="15618" max="15618" width="13.5" style="5" customWidth="1"/>
    <col min="15619" max="15620" width="14.375" style="5" customWidth="1"/>
    <col min="15621" max="15621" width="14.125" style="5" customWidth="1"/>
    <col min="15622" max="15623" width="13.5" style="5" customWidth="1"/>
    <col min="15624" max="15624" width="13.875" style="5" customWidth="1"/>
    <col min="15625" max="15870" width="8.875" style="5"/>
    <col min="15871" max="15871" width="6.5" style="5" customWidth="1"/>
    <col min="15872" max="15872" width="16.75" style="5" customWidth="1"/>
    <col min="15873" max="15873" width="13.875" style="5" customWidth="1"/>
    <col min="15874" max="15874" width="13.5" style="5" customWidth="1"/>
    <col min="15875" max="15876" width="14.375" style="5" customWidth="1"/>
    <col min="15877" max="15877" width="14.125" style="5" customWidth="1"/>
    <col min="15878" max="15879" width="13.5" style="5" customWidth="1"/>
    <col min="15880" max="15880" width="13.875" style="5" customWidth="1"/>
    <col min="15881" max="16126" width="8.875" style="5"/>
    <col min="16127" max="16127" width="6.5" style="5" customWidth="1"/>
    <col min="16128" max="16128" width="16.75" style="5" customWidth="1"/>
    <col min="16129" max="16129" width="13.875" style="5" customWidth="1"/>
    <col min="16130" max="16130" width="13.5" style="5" customWidth="1"/>
    <col min="16131" max="16132" width="14.375" style="5" customWidth="1"/>
    <col min="16133" max="16133" width="14.125" style="5" customWidth="1"/>
    <col min="16134" max="16135" width="13.5" style="5" customWidth="1"/>
    <col min="16136" max="16136" width="13.875" style="5" customWidth="1"/>
    <col min="16137" max="16382" width="8.875" style="5"/>
    <col min="16383" max="16384" width="8.875" style="5" customWidth="1"/>
  </cols>
  <sheetData>
    <row r="1" spans="1:14" s="111" customFormat="1" ht="19.5">
      <c r="B1" s="1"/>
      <c r="C1" s="1"/>
      <c r="D1" s="1"/>
      <c r="E1" s="180" t="s">
        <v>486</v>
      </c>
      <c r="F1" s="1"/>
      <c r="G1" s="1"/>
      <c r="H1" s="1"/>
      <c r="I1" s="1"/>
      <c r="J1" s="1"/>
      <c r="K1" s="5"/>
      <c r="L1" s="5"/>
      <c r="M1" s="5"/>
      <c r="N1" s="5"/>
    </row>
    <row r="3" spans="1:14" s="115" customFormat="1">
      <c r="A3" s="112" t="s">
        <v>38</v>
      </c>
      <c r="B3" s="113"/>
      <c r="C3" s="113"/>
      <c r="D3" s="113"/>
      <c r="E3" s="113"/>
      <c r="F3" s="113"/>
      <c r="G3" s="113"/>
      <c r="H3" s="113"/>
      <c r="I3" s="113"/>
      <c r="J3" s="114"/>
      <c r="K3" s="5"/>
      <c r="L3" s="5"/>
      <c r="M3" s="5"/>
      <c r="N3" s="5"/>
    </row>
    <row r="4" spans="1:14" s="13" customFormat="1">
      <c r="A4" s="116" t="s">
        <v>39</v>
      </c>
      <c r="B4" s="117"/>
      <c r="C4" s="117"/>
      <c r="D4" s="117"/>
      <c r="E4" s="117"/>
      <c r="F4" s="117"/>
      <c r="G4" s="117"/>
      <c r="H4" s="117"/>
      <c r="I4" s="117"/>
      <c r="J4" s="118"/>
      <c r="K4" s="5"/>
      <c r="L4" s="5"/>
      <c r="M4" s="5"/>
      <c r="N4" s="5"/>
    </row>
    <row r="5" spans="1:14" s="122" customFormat="1">
      <c r="A5" s="119" t="s">
        <v>40</v>
      </c>
      <c r="B5" s="120" t="s">
        <v>41</v>
      </c>
      <c r="C5" s="121" t="s">
        <v>42</v>
      </c>
      <c r="D5" s="120" t="s">
        <v>43</v>
      </c>
      <c r="E5" s="120" t="s">
        <v>44</v>
      </c>
      <c r="F5" s="120" t="s">
        <v>45</v>
      </c>
      <c r="G5" s="120" t="s">
        <v>46</v>
      </c>
      <c r="H5" s="120" t="s">
        <v>47</v>
      </c>
      <c r="I5" s="120" t="s">
        <v>48</v>
      </c>
      <c r="J5" s="120" t="s">
        <v>49</v>
      </c>
      <c r="K5" s="5"/>
      <c r="L5" s="5"/>
      <c r="M5" s="5"/>
      <c r="N5" s="5"/>
    </row>
    <row r="6" spans="1:14" s="122" customFormat="1">
      <c r="A6" s="123"/>
      <c r="B6" s="124" t="s">
        <v>50</v>
      </c>
      <c r="C6" s="125"/>
      <c r="D6" s="125"/>
      <c r="E6" s="125"/>
      <c r="F6" s="125"/>
      <c r="G6" s="125"/>
      <c r="H6" s="125"/>
      <c r="I6" s="125"/>
      <c r="J6" s="125"/>
      <c r="K6" s="5"/>
      <c r="L6" s="5"/>
      <c r="M6" s="5"/>
      <c r="N6" s="5"/>
    </row>
    <row r="7" spans="1:14">
      <c r="A7" s="126">
        <v>1</v>
      </c>
      <c r="B7" s="27">
        <f t="shared" ref="B7:B14" si="0">SUM(C7:J7)</f>
        <v>162493</v>
      </c>
      <c r="C7" s="377">
        <v>54703</v>
      </c>
      <c r="D7" s="377">
        <v>75533</v>
      </c>
      <c r="E7" s="378">
        <v>19471</v>
      </c>
      <c r="F7" s="377">
        <v>3320</v>
      </c>
      <c r="G7" s="377">
        <v>705</v>
      </c>
      <c r="H7" s="377">
        <v>8248</v>
      </c>
      <c r="I7" s="378">
        <v>513</v>
      </c>
      <c r="J7" s="378">
        <v>0</v>
      </c>
    </row>
    <row r="8" spans="1:14">
      <c r="A8" s="127"/>
      <c r="B8" s="27">
        <f t="shared" si="0"/>
        <v>151997099</v>
      </c>
      <c r="C8" s="377">
        <v>56124187</v>
      </c>
      <c r="D8" s="379">
        <v>57956348</v>
      </c>
      <c r="E8" s="377">
        <v>18004543</v>
      </c>
      <c r="F8" s="379">
        <v>5802647</v>
      </c>
      <c r="G8" s="379">
        <v>909998</v>
      </c>
      <c r="H8" s="379">
        <v>11974996</v>
      </c>
      <c r="I8" s="377">
        <v>1224380</v>
      </c>
      <c r="J8" s="377">
        <v>0</v>
      </c>
    </row>
    <row r="9" spans="1:14">
      <c r="A9" s="126">
        <v>2</v>
      </c>
      <c r="B9" s="27">
        <f t="shared" si="0"/>
        <v>115013</v>
      </c>
      <c r="C9" s="377">
        <v>38869</v>
      </c>
      <c r="D9" s="377">
        <v>44134</v>
      </c>
      <c r="E9" s="377">
        <v>23805</v>
      </c>
      <c r="F9" s="377">
        <v>2717</v>
      </c>
      <c r="G9" s="377">
        <v>514</v>
      </c>
      <c r="H9" s="377">
        <v>4534</v>
      </c>
      <c r="I9" s="377">
        <v>440</v>
      </c>
      <c r="J9" s="377">
        <v>0</v>
      </c>
    </row>
    <row r="10" spans="1:14">
      <c r="A10" s="127"/>
      <c r="B10" s="27">
        <f t="shared" si="0"/>
        <v>109496132</v>
      </c>
      <c r="C10" s="379">
        <v>39857934</v>
      </c>
      <c r="D10" s="488">
        <v>40045090</v>
      </c>
      <c r="E10" s="379">
        <v>17929546</v>
      </c>
      <c r="F10" s="379">
        <v>3876252</v>
      </c>
      <c r="G10" s="379">
        <v>414507</v>
      </c>
      <c r="H10" s="379">
        <v>6621595</v>
      </c>
      <c r="I10" s="379">
        <v>751208</v>
      </c>
      <c r="J10" s="379">
        <v>0</v>
      </c>
    </row>
    <row r="11" spans="1:14">
      <c r="A11" s="126">
        <v>3</v>
      </c>
      <c r="B11" s="27">
        <f t="shared" si="0"/>
        <v>134607</v>
      </c>
      <c r="C11" s="377">
        <v>52446</v>
      </c>
      <c r="D11" s="377">
        <v>48089</v>
      </c>
      <c r="E11" s="377">
        <v>24299</v>
      </c>
      <c r="F11" s="377">
        <v>2178</v>
      </c>
      <c r="G11" s="377">
        <v>1114</v>
      </c>
      <c r="H11" s="377">
        <v>6176</v>
      </c>
      <c r="I11" s="377">
        <v>305</v>
      </c>
      <c r="J11" s="377">
        <v>0</v>
      </c>
    </row>
    <row r="12" spans="1:14">
      <c r="A12" s="127"/>
      <c r="B12" s="27">
        <f t="shared" si="0"/>
        <v>122131450</v>
      </c>
      <c r="C12" s="379">
        <v>53609233</v>
      </c>
      <c r="D12" s="379">
        <v>34813313</v>
      </c>
      <c r="E12" s="379">
        <v>20000952</v>
      </c>
      <c r="F12" s="379">
        <v>3320479</v>
      </c>
      <c r="G12" s="379">
        <v>1237260</v>
      </c>
      <c r="H12" s="379">
        <v>8716292</v>
      </c>
      <c r="I12" s="379">
        <v>433921</v>
      </c>
      <c r="J12" s="379">
        <v>0</v>
      </c>
      <c r="L12" s="487"/>
    </row>
    <row r="13" spans="1:14">
      <c r="A13" s="126">
        <v>4</v>
      </c>
      <c r="B13" s="27">
        <f t="shared" si="0"/>
        <v>133349</v>
      </c>
      <c r="C13" s="378">
        <v>52312</v>
      </c>
      <c r="D13" s="378">
        <v>53119</v>
      </c>
      <c r="E13" s="378">
        <v>21561</v>
      </c>
      <c r="F13" s="378">
        <v>2379</v>
      </c>
      <c r="G13" s="378">
        <v>478</v>
      </c>
      <c r="H13" s="378">
        <v>3103</v>
      </c>
      <c r="I13" s="378">
        <v>397</v>
      </c>
      <c r="J13" s="379">
        <v>0</v>
      </c>
    </row>
    <row r="14" spans="1:14">
      <c r="A14" s="127"/>
      <c r="B14" s="27">
        <f t="shared" si="0"/>
        <v>126190344</v>
      </c>
      <c r="C14" s="377">
        <v>54180448</v>
      </c>
      <c r="D14" s="377">
        <v>43860514</v>
      </c>
      <c r="E14" s="377">
        <v>18514393</v>
      </c>
      <c r="F14" s="377">
        <v>3504834</v>
      </c>
      <c r="G14" s="377">
        <v>499801</v>
      </c>
      <c r="H14" s="377">
        <v>4716228</v>
      </c>
      <c r="I14" s="377">
        <v>914126</v>
      </c>
      <c r="J14" s="379">
        <v>0</v>
      </c>
    </row>
    <row r="15" spans="1:14">
      <c r="A15" s="128">
        <v>5</v>
      </c>
      <c r="B15" s="27"/>
      <c r="C15" s="377"/>
      <c r="D15" s="377"/>
      <c r="E15" s="377"/>
      <c r="F15" s="377"/>
      <c r="G15" s="377"/>
      <c r="H15" s="377"/>
      <c r="I15" s="377"/>
      <c r="J15" s="377"/>
    </row>
    <row r="16" spans="1:14">
      <c r="A16" s="128"/>
      <c r="B16" s="27"/>
      <c r="C16" s="377"/>
      <c r="D16" s="377"/>
      <c r="E16" s="377"/>
      <c r="F16" s="377"/>
      <c r="G16" s="377"/>
      <c r="H16" s="377"/>
      <c r="I16" s="377"/>
      <c r="J16" s="377"/>
    </row>
    <row r="17" spans="1:10">
      <c r="A17" s="126">
        <v>6</v>
      </c>
      <c r="B17" s="27"/>
      <c r="C17" s="377"/>
      <c r="D17" s="377"/>
      <c r="E17" s="377"/>
      <c r="F17" s="377"/>
      <c r="G17" s="377"/>
      <c r="H17" s="377"/>
      <c r="I17" s="377"/>
      <c r="J17" s="377"/>
    </row>
    <row r="18" spans="1:10">
      <c r="A18" s="127"/>
      <c r="B18" s="27"/>
      <c r="C18" s="377"/>
      <c r="D18" s="377"/>
      <c r="E18" s="377"/>
      <c r="F18" s="377"/>
      <c r="G18" s="377"/>
      <c r="H18" s="377"/>
      <c r="I18" s="377"/>
      <c r="J18" s="377"/>
    </row>
    <row r="19" spans="1:10">
      <c r="A19" s="126">
        <v>7</v>
      </c>
      <c r="B19" s="27"/>
      <c r="C19" s="377"/>
      <c r="D19" s="377"/>
      <c r="E19" s="377"/>
      <c r="F19" s="377"/>
      <c r="G19" s="377"/>
      <c r="H19" s="377"/>
      <c r="I19" s="377"/>
      <c r="J19" s="377"/>
    </row>
    <row r="20" spans="1:10">
      <c r="A20" s="127"/>
      <c r="B20" s="27"/>
      <c r="C20" s="377"/>
      <c r="D20" s="377"/>
      <c r="E20" s="377"/>
      <c r="F20" s="377"/>
      <c r="G20" s="377"/>
      <c r="H20" s="377"/>
      <c r="I20" s="377"/>
      <c r="J20" s="377"/>
    </row>
    <row r="21" spans="1:10">
      <c r="A21" s="126">
        <v>8</v>
      </c>
      <c r="B21" s="27"/>
      <c r="C21" s="377"/>
      <c r="D21" s="377"/>
      <c r="E21" s="377"/>
      <c r="F21" s="377"/>
      <c r="G21" s="377"/>
      <c r="H21" s="377"/>
      <c r="I21" s="377"/>
      <c r="J21" s="377"/>
    </row>
    <row r="22" spans="1:10">
      <c r="A22" s="127"/>
      <c r="B22" s="27"/>
      <c r="C22" s="377"/>
      <c r="D22" s="377"/>
      <c r="E22" s="377"/>
      <c r="F22" s="377"/>
      <c r="G22" s="377"/>
      <c r="H22" s="377"/>
      <c r="I22" s="377"/>
      <c r="J22" s="377"/>
    </row>
    <row r="23" spans="1:10">
      <c r="A23" s="126">
        <v>9</v>
      </c>
      <c r="B23" s="27"/>
      <c r="C23" s="27"/>
      <c r="D23" s="27"/>
      <c r="E23" s="27"/>
      <c r="F23" s="27"/>
      <c r="G23" s="27"/>
      <c r="H23" s="27"/>
      <c r="I23" s="27"/>
      <c r="J23" s="27"/>
    </row>
    <row r="24" spans="1:10">
      <c r="A24" s="127"/>
      <c r="B24" s="27"/>
      <c r="C24" s="27"/>
      <c r="D24" s="27"/>
      <c r="E24" s="27"/>
      <c r="F24" s="27"/>
      <c r="G24" s="27"/>
      <c r="H24" s="27"/>
      <c r="I24" s="27"/>
      <c r="J24" s="27"/>
    </row>
    <row r="25" spans="1:10">
      <c r="A25" s="126">
        <v>10</v>
      </c>
      <c r="B25" s="27"/>
      <c r="C25" s="27"/>
      <c r="D25" s="27"/>
      <c r="E25" s="27"/>
      <c r="F25" s="27"/>
      <c r="G25" s="27"/>
      <c r="H25" s="27"/>
      <c r="I25" s="27"/>
      <c r="J25" s="27"/>
    </row>
    <row r="26" spans="1:10">
      <c r="A26" s="127"/>
      <c r="B26" s="27"/>
      <c r="C26" s="27"/>
      <c r="D26" s="27"/>
      <c r="E26" s="27"/>
      <c r="F26" s="27"/>
      <c r="G26" s="27"/>
      <c r="H26" s="27"/>
      <c r="I26" s="27"/>
      <c r="J26" s="27"/>
    </row>
    <row r="27" spans="1:10">
      <c r="A27" s="126">
        <v>11</v>
      </c>
      <c r="B27" s="27"/>
      <c r="C27" s="27"/>
      <c r="D27" s="27"/>
      <c r="E27" s="27"/>
      <c r="F27" s="27"/>
      <c r="G27" s="27"/>
      <c r="H27" s="27"/>
      <c r="I27" s="27"/>
      <c r="J27" s="27"/>
    </row>
    <row r="28" spans="1:10">
      <c r="A28" s="127"/>
      <c r="B28" s="27"/>
      <c r="C28" s="27"/>
      <c r="D28" s="27"/>
      <c r="E28" s="27"/>
      <c r="F28" s="27"/>
      <c r="G28" s="27"/>
      <c r="H28" s="27"/>
      <c r="I28" s="517"/>
      <c r="J28" s="27"/>
    </row>
    <row r="29" spans="1:10">
      <c r="A29" s="126">
        <v>12</v>
      </c>
      <c r="B29" s="27"/>
      <c r="C29" s="27"/>
      <c r="D29" s="27"/>
      <c r="E29" s="27"/>
      <c r="F29" s="27"/>
      <c r="G29" s="27"/>
      <c r="H29" s="27"/>
      <c r="I29" s="518"/>
      <c r="J29" s="27"/>
    </row>
    <row r="30" spans="1:10">
      <c r="A30" s="127"/>
      <c r="B30" s="27"/>
      <c r="C30" s="27"/>
      <c r="D30" s="27"/>
      <c r="E30" s="27"/>
      <c r="F30" s="27"/>
      <c r="G30" s="27"/>
      <c r="H30" s="27"/>
      <c r="I30" s="211"/>
      <c r="J30" s="27">
        <v>0</v>
      </c>
    </row>
    <row r="31" spans="1:10" s="115" customFormat="1">
      <c r="A31" s="559" t="s">
        <v>51</v>
      </c>
      <c r="B31" s="33">
        <f>SUM(B7,B9,B11,B13,B15,B17,B19,B21,B23,B25,B27,B29)</f>
        <v>545462</v>
      </c>
      <c r="C31" s="33">
        <f>SUM(C7+C9+C11+C13+C15+C17+C19+C21+C23+C25+C27+C29)</f>
        <v>198330</v>
      </c>
      <c r="D31" s="33">
        <f t="shared" ref="D31:J31" si="1">SUM(D7+D9+D11+D13+D15+D17+D19+D21+D23+D25+D27+D29)</f>
        <v>220875</v>
      </c>
      <c r="E31" s="33">
        <f t="shared" si="1"/>
        <v>89136</v>
      </c>
      <c r="F31" s="33">
        <f t="shared" si="1"/>
        <v>10594</v>
      </c>
      <c r="G31" s="33">
        <f t="shared" si="1"/>
        <v>2811</v>
      </c>
      <c r="H31" s="33">
        <f t="shared" si="1"/>
        <v>22061</v>
      </c>
      <c r="I31" s="33">
        <f t="shared" si="1"/>
        <v>1655</v>
      </c>
      <c r="J31" s="33">
        <f t="shared" si="1"/>
        <v>0</v>
      </c>
    </row>
    <row r="32" spans="1:10" s="115" customFormat="1">
      <c r="A32" s="555"/>
      <c r="B32" s="33">
        <f>SUM(B8,B10,B12,B14,B16,B18,B20,B22,B24,B26,B28,B30)</f>
        <v>509815025</v>
      </c>
      <c r="C32" s="33">
        <f t="shared" ref="C32:J32" si="2">SUM(C8,C10,C12,C14,C16,C18,C20,C22,C24,C26,C28,C30)</f>
        <v>203771802</v>
      </c>
      <c r="D32" s="33">
        <f t="shared" si="2"/>
        <v>176675265</v>
      </c>
      <c r="E32" s="33">
        <f t="shared" si="2"/>
        <v>74449434</v>
      </c>
      <c r="F32" s="33">
        <f t="shared" si="2"/>
        <v>16504212</v>
      </c>
      <c r="G32" s="33">
        <f t="shared" si="2"/>
        <v>3061566</v>
      </c>
      <c r="H32" s="33">
        <f t="shared" si="2"/>
        <v>32029111</v>
      </c>
      <c r="I32" s="33">
        <f t="shared" si="2"/>
        <v>3323635</v>
      </c>
      <c r="J32" s="33">
        <f t="shared" si="2"/>
        <v>0</v>
      </c>
    </row>
    <row r="33" spans="1:10" s="115" customFormat="1" ht="6.75" customHeight="1">
      <c r="A33" s="496"/>
      <c r="B33" s="39"/>
      <c r="C33" s="39"/>
      <c r="D33" s="39"/>
      <c r="E33" s="39"/>
      <c r="F33" s="39"/>
      <c r="G33" s="39"/>
      <c r="H33" s="39"/>
      <c r="I33" s="39"/>
      <c r="J33" s="39"/>
    </row>
    <row r="34" spans="1:10" s="13" customFormat="1" ht="15.75" customHeight="1">
      <c r="A34" s="54" t="s">
        <v>415</v>
      </c>
    </row>
    <row r="35" spans="1:10">
      <c r="D35" s="487"/>
      <c r="E35" s="487"/>
      <c r="F35" s="487"/>
      <c r="G35" s="487"/>
      <c r="H35" s="487"/>
    </row>
    <row r="36" spans="1:10">
      <c r="D36" s="487"/>
      <c r="E36" s="487"/>
      <c r="F36" s="487"/>
      <c r="G36" s="487"/>
      <c r="H36" s="487"/>
    </row>
    <row r="37" spans="1:10">
      <c r="D37" s="487"/>
      <c r="F37" s="487"/>
      <c r="G37" s="487"/>
    </row>
    <row r="38" spans="1:10">
      <c r="D38" s="487"/>
      <c r="E38" s="487"/>
      <c r="G38" s="487"/>
      <c r="H38" s="487"/>
    </row>
    <row r="39" spans="1:10">
      <c r="F39" s="487"/>
      <c r="G39" s="487"/>
      <c r="H39" s="487"/>
    </row>
    <row r="40" spans="1:10">
      <c r="F40" s="487"/>
      <c r="G40" s="487"/>
      <c r="H40" s="487"/>
    </row>
    <row r="41" spans="1:10">
      <c r="G41" s="487"/>
      <c r="H41" s="487"/>
    </row>
    <row r="42" spans="1:10">
      <c r="G42" s="487"/>
      <c r="H42" s="487"/>
    </row>
    <row r="43" spans="1:10">
      <c r="G43" s="487"/>
      <c r="H43" s="487"/>
    </row>
    <row r="44" spans="1:10">
      <c r="G44" s="487"/>
      <c r="H44" s="487"/>
    </row>
    <row r="45" spans="1:10">
      <c r="G45" s="487"/>
      <c r="H45" s="487"/>
    </row>
    <row r="46" spans="1:10">
      <c r="G46" s="487"/>
      <c r="H46" s="487"/>
    </row>
    <row r="47" spans="1:10">
      <c r="G47" s="487"/>
    </row>
    <row r="48" spans="1:10">
      <c r="G48" s="487"/>
      <c r="H48" s="487"/>
    </row>
    <row r="49" spans="7:8">
      <c r="G49" s="487"/>
    </row>
    <row r="50" spans="7:8">
      <c r="G50" s="487"/>
    </row>
    <row r="51" spans="7:8">
      <c r="G51" s="487"/>
    </row>
    <row r="52" spans="7:8">
      <c r="G52" s="487"/>
    </row>
    <row r="53" spans="7:8">
      <c r="G53" s="487"/>
    </row>
    <row r="54" spans="7:8">
      <c r="G54" s="487"/>
    </row>
    <row r="55" spans="7:8">
      <c r="G55" s="487"/>
    </row>
    <row r="56" spans="7:8">
      <c r="G56" s="487"/>
    </row>
    <row r="57" spans="7:8">
      <c r="G57" s="487"/>
    </row>
    <row r="58" spans="7:8">
      <c r="G58" s="487"/>
    </row>
    <row r="59" spans="7:8">
      <c r="G59" s="487"/>
    </row>
    <row r="60" spans="7:8">
      <c r="G60" s="487"/>
    </row>
    <row r="62" spans="7:8">
      <c r="G62" s="487"/>
      <c r="H62" s="487"/>
    </row>
  </sheetData>
  <mergeCells count="1">
    <mergeCell ref="A31:A32"/>
  </mergeCells>
  <phoneticPr fontId="3" type="noConversion"/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74"/>
  <sheetViews>
    <sheetView workbookViewId="0">
      <selection activeCell="A2" sqref="A2"/>
    </sheetView>
  </sheetViews>
  <sheetFormatPr defaultRowHeight="16.5"/>
  <cols>
    <col min="1" max="1" width="15.125" style="5" customWidth="1"/>
    <col min="2" max="2" width="14.125" style="5" customWidth="1"/>
    <col min="3" max="3" width="14.375" style="5" customWidth="1"/>
    <col min="4" max="4" width="12.625" style="6" customWidth="1"/>
    <col min="5" max="5" width="13.875" style="5" customWidth="1"/>
    <col min="6" max="6" width="12.125" style="5" customWidth="1"/>
    <col min="7" max="7" width="14.5" style="5" customWidth="1"/>
    <col min="8" max="8" width="12.5" style="5" customWidth="1"/>
    <col min="9" max="9" width="14.375" style="6" customWidth="1"/>
    <col min="10" max="256" width="8.875" style="5"/>
    <col min="257" max="257" width="15.125" style="5" customWidth="1"/>
    <col min="258" max="258" width="14.125" style="5" customWidth="1"/>
    <col min="259" max="259" width="14.375" style="5" customWidth="1"/>
    <col min="260" max="260" width="12.625" style="5" customWidth="1"/>
    <col min="261" max="261" width="13.875" style="5" customWidth="1"/>
    <col min="262" max="262" width="16.375" style="5" customWidth="1"/>
    <col min="263" max="263" width="14.5" style="5" customWidth="1"/>
    <col min="264" max="264" width="12.5" style="5" customWidth="1"/>
    <col min="265" max="265" width="13.875" style="5" customWidth="1"/>
    <col min="266" max="512" width="8.875" style="5"/>
    <col min="513" max="513" width="15.125" style="5" customWidth="1"/>
    <col min="514" max="514" width="14.125" style="5" customWidth="1"/>
    <col min="515" max="515" width="14.375" style="5" customWidth="1"/>
    <col min="516" max="516" width="12.625" style="5" customWidth="1"/>
    <col min="517" max="517" width="13.875" style="5" customWidth="1"/>
    <col min="518" max="518" width="16.375" style="5" customWidth="1"/>
    <col min="519" max="519" width="14.5" style="5" customWidth="1"/>
    <col min="520" max="520" width="12.5" style="5" customWidth="1"/>
    <col min="521" max="521" width="13.875" style="5" customWidth="1"/>
    <col min="522" max="768" width="8.875" style="5"/>
    <col min="769" max="769" width="15.125" style="5" customWidth="1"/>
    <col min="770" max="770" width="14.125" style="5" customWidth="1"/>
    <col min="771" max="771" width="14.375" style="5" customWidth="1"/>
    <col min="772" max="772" width="12.625" style="5" customWidth="1"/>
    <col min="773" max="773" width="13.875" style="5" customWidth="1"/>
    <col min="774" max="774" width="16.375" style="5" customWidth="1"/>
    <col min="775" max="775" width="14.5" style="5" customWidth="1"/>
    <col min="776" max="776" width="12.5" style="5" customWidth="1"/>
    <col min="777" max="777" width="13.875" style="5" customWidth="1"/>
    <col min="778" max="1024" width="8.875" style="5"/>
    <col min="1025" max="1025" width="15.125" style="5" customWidth="1"/>
    <col min="1026" max="1026" width="14.125" style="5" customWidth="1"/>
    <col min="1027" max="1027" width="14.375" style="5" customWidth="1"/>
    <col min="1028" max="1028" width="12.625" style="5" customWidth="1"/>
    <col min="1029" max="1029" width="13.875" style="5" customWidth="1"/>
    <col min="1030" max="1030" width="16.375" style="5" customWidth="1"/>
    <col min="1031" max="1031" width="14.5" style="5" customWidth="1"/>
    <col min="1032" max="1032" width="12.5" style="5" customWidth="1"/>
    <col min="1033" max="1033" width="13.875" style="5" customWidth="1"/>
    <col min="1034" max="1280" width="8.875" style="5"/>
    <col min="1281" max="1281" width="15.125" style="5" customWidth="1"/>
    <col min="1282" max="1282" width="14.125" style="5" customWidth="1"/>
    <col min="1283" max="1283" width="14.375" style="5" customWidth="1"/>
    <col min="1284" max="1284" width="12.625" style="5" customWidth="1"/>
    <col min="1285" max="1285" width="13.875" style="5" customWidth="1"/>
    <col min="1286" max="1286" width="16.375" style="5" customWidth="1"/>
    <col min="1287" max="1287" width="14.5" style="5" customWidth="1"/>
    <col min="1288" max="1288" width="12.5" style="5" customWidth="1"/>
    <col min="1289" max="1289" width="13.875" style="5" customWidth="1"/>
    <col min="1290" max="1536" width="8.875" style="5"/>
    <col min="1537" max="1537" width="15.125" style="5" customWidth="1"/>
    <col min="1538" max="1538" width="14.125" style="5" customWidth="1"/>
    <col min="1539" max="1539" width="14.375" style="5" customWidth="1"/>
    <col min="1540" max="1540" width="12.625" style="5" customWidth="1"/>
    <col min="1541" max="1541" width="13.875" style="5" customWidth="1"/>
    <col min="1542" max="1542" width="16.375" style="5" customWidth="1"/>
    <col min="1543" max="1543" width="14.5" style="5" customWidth="1"/>
    <col min="1544" max="1544" width="12.5" style="5" customWidth="1"/>
    <col min="1545" max="1545" width="13.875" style="5" customWidth="1"/>
    <col min="1546" max="1792" width="8.875" style="5"/>
    <col min="1793" max="1793" width="15.125" style="5" customWidth="1"/>
    <col min="1794" max="1794" width="14.125" style="5" customWidth="1"/>
    <col min="1795" max="1795" width="14.375" style="5" customWidth="1"/>
    <col min="1796" max="1796" width="12.625" style="5" customWidth="1"/>
    <col min="1797" max="1797" width="13.875" style="5" customWidth="1"/>
    <col min="1798" max="1798" width="16.375" style="5" customWidth="1"/>
    <col min="1799" max="1799" width="14.5" style="5" customWidth="1"/>
    <col min="1800" max="1800" width="12.5" style="5" customWidth="1"/>
    <col min="1801" max="1801" width="13.875" style="5" customWidth="1"/>
    <col min="1802" max="2048" width="8.875" style="5"/>
    <col min="2049" max="2049" width="15.125" style="5" customWidth="1"/>
    <col min="2050" max="2050" width="14.125" style="5" customWidth="1"/>
    <col min="2051" max="2051" width="14.375" style="5" customWidth="1"/>
    <col min="2052" max="2052" width="12.625" style="5" customWidth="1"/>
    <col min="2053" max="2053" width="13.875" style="5" customWidth="1"/>
    <col min="2054" max="2054" width="16.375" style="5" customWidth="1"/>
    <col min="2055" max="2055" width="14.5" style="5" customWidth="1"/>
    <col min="2056" max="2056" width="12.5" style="5" customWidth="1"/>
    <col min="2057" max="2057" width="13.875" style="5" customWidth="1"/>
    <col min="2058" max="2304" width="8.875" style="5"/>
    <col min="2305" max="2305" width="15.125" style="5" customWidth="1"/>
    <col min="2306" max="2306" width="14.125" style="5" customWidth="1"/>
    <col min="2307" max="2307" width="14.375" style="5" customWidth="1"/>
    <col min="2308" max="2308" width="12.625" style="5" customWidth="1"/>
    <col min="2309" max="2309" width="13.875" style="5" customWidth="1"/>
    <col min="2310" max="2310" width="16.375" style="5" customWidth="1"/>
    <col min="2311" max="2311" width="14.5" style="5" customWidth="1"/>
    <col min="2312" max="2312" width="12.5" style="5" customWidth="1"/>
    <col min="2313" max="2313" width="13.875" style="5" customWidth="1"/>
    <col min="2314" max="2560" width="8.875" style="5"/>
    <col min="2561" max="2561" width="15.125" style="5" customWidth="1"/>
    <col min="2562" max="2562" width="14.125" style="5" customWidth="1"/>
    <col min="2563" max="2563" width="14.375" style="5" customWidth="1"/>
    <col min="2564" max="2564" width="12.625" style="5" customWidth="1"/>
    <col min="2565" max="2565" width="13.875" style="5" customWidth="1"/>
    <col min="2566" max="2566" width="16.375" style="5" customWidth="1"/>
    <col min="2567" max="2567" width="14.5" style="5" customWidth="1"/>
    <col min="2568" max="2568" width="12.5" style="5" customWidth="1"/>
    <col min="2569" max="2569" width="13.875" style="5" customWidth="1"/>
    <col min="2570" max="2816" width="8.875" style="5"/>
    <col min="2817" max="2817" width="15.125" style="5" customWidth="1"/>
    <col min="2818" max="2818" width="14.125" style="5" customWidth="1"/>
    <col min="2819" max="2819" width="14.375" style="5" customWidth="1"/>
    <col min="2820" max="2820" width="12.625" style="5" customWidth="1"/>
    <col min="2821" max="2821" width="13.875" style="5" customWidth="1"/>
    <col min="2822" max="2822" width="16.375" style="5" customWidth="1"/>
    <col min="2823" max="2823" width="14.5" style="5" customWidth="1"/>
    <col min="2824" max="2824" width="12.5" style="5" customWidth="1"/>
    <col min="2825" max="2825" width="13.875" style="5" customWidth="1"/>
    <col min="2826" max="3072" width="8.875" style="5"/>
    <col min="3073" max="3073" width="15.125" style="5" customWidth="1"/>
    <col min="3074" max="3074" width="14.125" style="5" customWidth="1"/>
    <col min="3075" max="3075" width="14.375" style="5" customWidth="1"/>
    <col min="3076" max="3076" width="12.625" style="5" customWidth="1"/>
    <col min="3077" max="3077" width="13.875" style="5" customWidth="1"/>
    <col min="3078" max="3078" width="16.375" style="5" customWidth="1"/>
    <col min="3079" max="3079" width="14.5" style="5" customWidth="1"/>
    <col min="3080" max="3080" width="12.5" style="5" customWidth="1"/>
    <col min="3081" max="3081" width="13.875" style="5" customWidth="1"/>
    <col min="3082" max="3328" width="8.875" style="5"/>
    <col min="3329" max="3329" width="15.125" style="5" customWidth="1"/>
    <col min="3330" max="3330" width="14.125" style="5" customWidth="1"/>
    <col min="3331" max="3331" width="14.375" style="5" customWidth="1"/>
    <col min="3332" max="3332" width="12.625" style="5" customWidth="1"/>
    <col min="3333" max="3333" width="13.875" style="5" customWidth="1"/>
    <col min="3334" max="3334" width="16.375" style="5" customWidth="1"/>
    <col min="3335" max="3335" width="14.5" style="5" customWidth="1"/>
    <col min="3336" max="3336" width="12.5" style="5" customWidth="1"/>
    <col min="3337" max="3337" width="13.875" style="5" customWidth="1"/>
    <col min="3338" max="3584" width="8.875" style="5"/>
    <col min="3585" max="3585" width="15.125" style="5" customWidth="1"/>
    <col min="3586" max="3586" width="14.125" style="5" customWidth="1"/>
    <col min="3587" max="3587" width="14.375" style="5" customWidth="1"/>
    <col min="3588" max="3588" width="12.625" style="5" customWidth="1"/>
    <col min="3589" max="3589" width="13.875" style="5" customWidth="1"/>
    <col min="3590" max="3590" width="16.375" style="5" customWidth="1"/>
    <col min="3591" max="3591" width="14.5" style="5" customWidth="1"/>
    <col min="3592" max="3592" width="12.5" style="5" customWidth="1"/>
    <col min="3593" max="3593" width="13.875" style="5" customWidth="1"/>
    <col min="3594" max="3840" width="8.875" style="5"/>
    <col min="3841" max="3841" width="15.125" style="5" customWidth="1"/>
    <col min="3842" max="3842" width="14.125" style="5" customWidth="1"/>
    <col min="3843" max="3843" width="14.375" style="5" customWidth="1"/>
    <col min="3844" max="3844" width="12.625" style="5" customWidth="1"/>
    <col min="3845" max="3845" width="13.875" style="5" customWidth="1"/>
    <col min="3846" max="3846" width="16.375" style="5" customWidth="1"/>
    <col min="3847" max="3847" width="14.5" style="5" customWidth="1"/>
    <col min="3848" max="3848" width="12.5" style="5" customWidth="1"/>
    <col min="3849" max="3849" width="13.875" style="5" customWidth="1"/>
    <col min="3850" max="4096" width="8.875" style="5"/>
    <col min="4097" max="4097" width="15.125" style="5" customWidth="1"/>
    <col min="4098" max="4098" width="14.125" style="5" customWidth="1"/>
    <col min="4099" max="4099" width="14.375" style="5" customWidth="1"/>
    <col min="4100" max="4100" width="12.625" style="5" customWidth="1"/>
    <col min="4101" max="4101" width="13.875" style="5" customWidth="1"/>
    <col min="4102" max="4102" width="16.375" style="5" customWidth="1"/>
    <col min="4103" max="4103" width="14.5" style="5" customWidth="1"/>
    <col min="4104" max="4104" width="12.5" style="5" customWidth="1"/>
    <col min="4105" max="4105" width="13.875" style="5" customWidth="1"/>
    <col min="4106" max="4352" width="8.875" style="5"/>
    <col min="4353" max="4353" width="15.125" style="5" customWidth="1"/>
    <col min="4354" max="4354" width="14.125" style="5" customWidth="1"/>
    <col min="4355" max="4355" width="14.375" style="5" customWidth="1"/>
    <col min="4356" max="4356" width="12.625" style="5" customWidth="1"/>
    <col min="4357" max="4357" width="13.875" style="5" customWidth="1"/>
    <col min="4358" max="4358" width="16.375" style="5" customWidth="1"/>
    <col min="4359" max="4359" width="14.5" style="5" customWidth="1"/>
    <col min="4360" max="4360" width="12.5" style="5" customWidth="1"/>
    <col min="4361" max="4361" width="13.875" style="5" customWidth="1"/>
    <col min="4362" max="4608" width="8.875" style="5"/>
    <col min="4609" max="4609" width="15.125" style="5" customWidth="1"/>
    <col min="4610" max="4610" width="14.125" style="5" customWidth="1"/>
    <col min="4611" max="4611" width="14.375" style="5" customWidth="1"/>
    <col min="4612" max="4612" width="12.625" style="5" customWidth="1"/>
    <col min="4613" max="4613" width="13.875" style="5" customWidth="1"/>
    <col min="4614" max="4614" width="16.375" style="5" customWidth="1"/>
    <col min="4615" max="4615" width="14.5" style="5" customWidth="1"/>
    <col min="4616" max="4616" width="12.5" style="5" customWidth="1"/>
    <col min="4617" max="4617" width="13.875" style="5" customWidth="1"/>
    <col min="4618" max="4864" width="8.875" style="5"/>
    <col min="4865" max="4865" width="15.125" style="5" customWidth="1"/>
    <col min="4866" max="4866" width="14.125" style="5" customWidth="1"/>
    <col min="4867" max="4867" width="14.375" style="5" customWidth="1"/>
    <col min="4868" max="4868" width="12.625" style="5" customWidth="1"/>
    <col min="4869" max="4869" width="13.875" style="5" customWidth="1"/>
    <col min="4870" max="4870" width="16.375" style="5" customWidth="1"/>
    <col min="4871" max="4871" width="14.5" style="5" customWidth="1"/>
    <col min="4872" max="4872" width="12.5" style="5" customWidth="1"/>
    <col min="4873" max="4873" width="13.875" style="5" customWidth="1"/>
    <col min="4874" max="5120" width="8.875" style="5"/>
    <col min="5121" max="5121" width="15.125" style="5" customWidth="1"/>
    <col min="5122" max="5122" width="14.125" style="5" customWidth="1"/>
    <col min="5123" max="5123" width="14.375" style="5" customWidth="1"/>
    <col min="5124" max="5124" width="12.625" style="5" customWidth="1"/>
    <col min="5125" max="5125" width="13.875" style="5" customWidth="1"/>
    <col min="5126" max="5126" width="16.375" style="5" customWidth="1"/>
    <col min="5127" max="5127" width="14.5" style="5" customWidth="1"/>
    <col min="5128" max="5128" width="12.5" style="5" customWidth="1"/>
    <col min="5129" max="5129" width="13.875" style="5" customWidth="1"/>
    <col min="5130" max="5376" width="8.875" style="5"/>
    <col min="5377" max="5377" width="15.125" style="5" customWidth="1"/>
    <col min="5378" max="5378" width="14.125" style="5" customWidth="1"/>
    <col min="5379" max="5379" width="14.375" style="5" customWidth="1"/>
    <col min="5380" max="5380" width="12.625" style="5" customWidth="1"/>
    <col min="5381" max="5381" width="13.875" style="5" customWidth="1"/>
    <col min="5382" max="5382" width="16.375" style="5" customWidth="1"/>
    <col min="5383" max="5383" width="14.5" style="5" customWidth="1"/>
    <col min="5384" max="5384" width="12.5" style="5" customWidth="1"/>
    <col min="5385" max="5385" width="13.875" style="5" customWidth="1"/>
    <col min="5386" max="5632" width="8.875" style="5"/>
    <col min="5633" max="5633" width="15.125" style="5" customWidth="1"/>
    <col min="5634" max="5634" width="14.125" style="5" customWidth="1"/>
    <col min="5635" max="5635" width="14.375" style="5" customWidth="1"/>
    <col min="5636" max="5636" width="12.625" style="5" customWidth="1"/>
    <col min="5637" max="5637" width="13.875" style="5" customWidth="1"/>
    <col min="5638" max="5638" width="16.375" style="5" customWidth="1"/>
    <col min="5639" max="5639" width="14.5" style="5" customWidth="1"/>
    <col min="5640" max="5640" width="12.5" style="5" customWidth="1"/>
    <col min="5641" max="5641" width="13.875" style="5" customWidth="1"/>
    <col min="5642" max="5888" width="8.875" style="5"/>
    <col min="5889" max="5889" width="15.125" style="5" customWidth="1"/>
    <col min="5890" max="5890" width="14.125" style="5" customWidth="1"/>
    <col min="5891" max="5891" width="14.375" style="5" customWidth="1"/>
    <col min="5892" max="5892" width="12.625" style="5" customWidth="1"/>
    <col min="5893" max="5893" width="13.875" style="5" customWidth="1"/>
    <col min="5894" max="5894" width="16.375" style="5" customWidth="1"/>
    <col min="5895" max="5895" width="14.5" style="5" customWidth="1"/>
    <col min="5896" max="5896" width="12.5" style="5" customWidth="1"/>
    <col min="5897" max="5897" width="13.875" style="5" customWidth="1"/>
    <col min="5898" max="6144" width="8.875" style="5"/>
    <col min="6145" max="6145" width="15.125" style="5" customWidth="1"/>
    <col min="6146" max="6146" width="14.125" style="5" customWidth="1"/>
    <col min="6147" max="6147" width="14.375" style="5" customWidth="1"/>
    <col min="6148" max="6148" width="12.625" style="5" customWidth="1"/>
    <col min="6149" max="6149" width="13.875" style="5" customWidth="1"/>
    <col min="6150" max="6150" width="16.375" style="5" customWidth="1"/>
    <col min="6151" max="6151" width="14.5" style="5" customWidth="1"/>
    <col min="6152" max="6152" width="12.5" style="5" customWidth="1"/>
    <col min="6153" max="6153" width="13.875" style="5" customWidth="1"/>
    <col min="6154" max="6400" width="8.875" style="5"/>
    <col min="6401" max="6401" width="15.125" style="5" customWidth="1"/>
    <col min="6402" max="6402" width="14.125" style="5" customWidth="1"/>
    <col min="6403" max="6403" width="14.375" style="5" customWidth="1"/>
    <col min="6404" max="6404" width="12.625" style="5" customWidth="1"/>
    <col min="6405" max="6405" width="13.875" style="5" customWidth="1"/>
    <col min="6406" max="6406" width="16.375" style="5" customWidth="1"/>
    <col min="6407" max="6407" width="14.5" style="5" customWidth="1"/>
    <col min="6408" max="6408" width="12.5" style="5" customWidth="1"/>
    <col min="6409" max="6409" width="13.875" style="5" customWidth="1"/>
    <col min="6410" max="6656" width="8.875" style="5"/>
    <col min="6657" max="6657" width="15.125" style="5" customWidth="1"/>
    <col min="6658" max="6658" width="14.125" style="5" customWidth="1"/>
    <col min="6659" max="6659" width="14.375" style="5" customWidth="1"/>
    <col min="6660" max="6660" width="12.625" style="5" customWidth="1"/>
    <col min="6661" max="6661" width="13.875" style="5" customWidth="1"/>
    <col min="6662" max="6662" width="16.375" style="5" customWidth="1"/>
    <col min="6663" max="6663" width="14.5" style="5" customWidth="1"/>
    <col min="6664" max="6664" width="12.5" style="5" customWidth="1"/>
    <col min="6665" max="6665" width="13.875" style="5" customWidth="1"/>
    <col min="6666" max="6912" width="8.875" style="5"/>
    <col min="6913" max="6913" width="15.125" style="5" customWidth="1"/>
    <col min="6914" max="6914" width="14.125" style="5" customWidth="1"/>
    <col min="6915" max="6915" width="14.375" style="5" customWidth="1"/>
    <col min="6916" max="6916" width="12.625" style="5" customWidth="1"/>
    <col min="6917" max="6917" width="13.875" style="5" customWidth="1"/>
    <col min="6918" max="6918" width="16.375" style="5" customWidth="1"/>
    <col min="6919" max="6919" width="14.5" style="5" customWidth="1"/>
    <col min="6920" max="6920" width="12.5" style="5" customWidth="1"/>
    <col min="6921" max="6921" width="13.875" style="5" customWidth="1"/>
    <col min="6922" max="7168" width="8.875" style="5"/>
    <col min="7169" max="7169" width="15.125" style="5" customWidth="1"/>
    <col min="7170" max="7170" width="14.125" style="5" customWidth="1"/>
    <col min="7171" max="7171" width="14.375" style="5" customWidth="1"/>
    <col min="7172" max="7172" width="12.625" style="5" customWidth="1"/>
    <col min="7173" max="7173" width="13.875" style="5" customWidth="1"/>
    <col min="7174" max="7174" width="16.375" style="5" customWidth="1"/>
    <col min="7175" max="7175" width="14.5" style="5" customWidth="1"/>
    <col min="7176" max="7176" width="12.5" style="5" customWidth="1"/>
    <col min="7177" max="7177" width="13.875" style="5" customWidth="1"/>
    <col min="7178" max="7424" width="8.875" style="5"/>
    <col min="7425" max="7425" width="15.125" style="5" customWidth="1"/>
    <col min="7426" max="7426" width="14.125" style="5" customWidth="1"/>
    <col min="7427" max="7427" width="14.375" style="5" customWidth="1"/>
    <col min="7428" max="7428" width="12.625" style="5" customWidth="1"/>
    <col min="7429" max="7429" width="13.875" style="5" customWidth="1"/>
    <col min="7430" max="7430" width="16.375" style="5" customWidth="1"/>
    <col min="7431" max="7431" width="14.5" style="5" customWidth="1"/>
    <col min="7432" max="7432" width="12.5" style="5" customWidth="1"/>
    <col min="7433" max="7433" width="13.875" style="5" customWidth="1"/>
    <col min="7434" max="7680" width="8.875" style="5"/>
    <col min="7681" max="7681" width="15.125" style="5" customWidth="1"/>
    <col min="7682" max="7682" width="14.125" style="5" customWidth="1"/>
    <col min="7683" max="7683" width="14.375" style="5" customWidth="1"/>
    <col min="7684" max="7684" width="12.625" style="5" customWidth="1"/>
    <col min="7685" max="7685" width="13.875" style="5" customWidth="1"/>
    <col min="7686" max="7686" width="16.375" style="5" customWidth="1"/>
    <col min="7687" max="7687" width="14.5" style="5" customWidth="1"/>
    <col min="7688" max="7688" width="12.5" style="5" customWidth="1"/>
    <col min="7689" max="7689" width="13.875" style="5" customWidth="1"/>
    <col min="7690" max="7936" width="8.875" style="5"/>
    <col min="7937" max="7937" width="15.125" style="5" customWidth="1"/>
    <col min="7938" max="7938" width="14.125" style="5" customWidth="1"/>
    <col min="7939" max="7939" width="14.375" style="5" customWidth="1"/>
    <col min="7940" max="7940" width="12.625" style="5" customWidth="1"/>
    <col min="7941" max="7941" width="13.875" style="5" customWidth="1"/>
    <col min="7942" max="7942" width="16.375" style="5" customWidth="1"/>
    <col min="7943" max="7943" width="14.5" style="5" customWidth="1"/>
    <col min="7944" max="7944" width="12.5" style="5" customWidth="1"/>
    <col min="7945" max="7945" width="13.875" style="5" customWidth="1"/>
    <col min="7946" max="8192" width="8.875" style="5"/>
    <col min="8193" max="8193" width="15.125" style="5" customWidth="1"/>
    <col min="8194" max="8194" width="14.125" style="5" customWidth="1"/>
    <col min="8195" max="8195" width="14.375" style="5" customWidth="1"/>
    <col min="8196" max="8196" width="12.625" style="5" customWidth="1"/>
    <col min="8197" max="8197" width="13.875" style="5" customWidth="1"/>
    <col min="8198" max="8198" width="16.375" style="5" customWidth="1"/>
    <col min="8199" max="8199" width="14.5" style="5" customWidth="1"/>
    <col min="8200" max="8200" width="12.5" style="5" customWidth="1"/>
    <col min="8201" max="8201" width="13.875" style="5" customWidth="1"/>
    <col min="8202" max="8448" width="8.875" style="5"/>
    <col min="8449" max="8449" width="15.125" style="5" customWidth="1"/>
    <col min="8450" max="8450" width="14.125" style="5" customWidth="1"/>
    <col min="8451" max="8451" width="14.375" style="5" customWidth="1"/>
    <col min="8452" max="8452" width="12.625" style="5" customWidth="1"/>
    <col min="8453" max="8453" width="13.875" style="5" customWidth="1"/>
    <col min="8454" max="8454" width="16.375" style="5" customWidth="1"/>
    <col min="8455" max="8455" width="14.5" style="5" customWidth="1"/>
    <col min="8456" max="8456" width="12.5" style="5" customWidth="1"/>
    <col min="8457" max="8457" width="13.875" style="5" customWidth="1"/>
    <col min="8458" max="8704" width="8.875" style="5"/>
    <col min="8705" max="8705" width="15.125" style="5" customWidth="1"/>
    <col min="8706" max="8706" width="14.125" style="5" customWidth="1"/>
    <col min="8707" max="8707" width="14.375" style="5" customWidth="1"/>
    <col min="8708" max="8708" width="12.625" style="5" customWidth="1"/>
    <col min="8709" max="8709" width="13.875" style="5" customWidth="1"/>
    <col min="8710" max="8710" width="16.375" style="5" customWidth="1"/>
    <col min="8711" max="8711" width="14.5" style="5" customWidth="1"/>
    <col min="8712" max="8712" width="12.5" style="5" customWidth="1"/>
    <col min="8713" max="8713" width="13.875" style="5" customWidth="1"/>
    <col min="8714" max="8960" width="8.875" style="5"/>
    <col min="8961" max="8961" width="15.125" style="5" customWidth="1"/>
    <col min="8962" max="8962" width="14.125" style="5" customWidth="1"/>
    <col min="8963" max="8963" width="14.375" style="5" customWidth="1"/>
    <col min="8964" max="8964" width="12.625" style="5" customWidth="1"/>
    <col min="8965" max="8965" width="13.875" style="5" customWidth="1"/>
    <col min="8966" max="8966" width="16.375" style="5" customWidth="1"/>
    <col min="8967" max="8967" width="14.5" style="5" customWidth="1"/>
    <col min="8968" max="8968" width="12.5" style="5" customWidth="1"/>
    <col min="8969" max="8969" width="13.875" style="5" customWidth="1"/>
    <col min="8970" max="9216" width="8.875" style="5"/>
    <col min="9217" max="9217" width="15.125" style="5" customWidth="1"/>
    <col min="9218" max="9218" width="14.125" style="5" customWidth="1"/>
    <col min="9219" max="9219" width="14.375" style="5" customWidth="1"/>
    <col min="9220" max="9220" width="12.625" style="5" customWidth="1"/>
    <col min="9221" max="9221" width="13.875" style="5" customWidth="1"/>
    <col min="9222" max="9222" width="16.375" style="5" customWidth="1"/>
    <col min="9223" max="9223" width="14.5" style="5" customWidth="1"/>
    <col min="9224" max="9224" width="12.5" style="5" customWidth="1"/>
    <col min="9225" max="9225" width="13.875" style="5" customWidth="1"/>
    <col min="9226" max="9472" width="8.875" style="5"/>
    <col min="9473" max="9473" width="15.125" style="5" customWidth="1"/>
    <col min="9474" max="9474" width="14.125" style="5" customWidth="1"/>
    <col min="9475" max="9475" width="14.375" style="5" customWidth="1"/>
    <col min="9476" max="9476" width="12.625" style="5" customWidth="1"/>
    <col min="9477" max="9477" width="13.875" style="5" customWidth="1"/>
    <col min="9478" max="9478" width="16.375" style="5" customWidth="1"/>
    <col min="9479" max="9479" width="14.5" style="5" customWidth="1"/>
    <col min="9480" max="9480" width="12.5" style="5" customWidth="1"/>
    <col min="9481" max="9481" width="13.875" style="5" customWidth="1"/>
    <col min="9482" max="9728" width="8.875" style="5"/>
    <col min="9729" max="9729" width="15.125" style="5" customWidth="1"/>
    <col min="9730" max="9730" width="14.125" style="5" customWidth="1"/>
    <col min="9731" max="9731" width="14.375" style="5" customWidth="1"/>
    <col min="9732" max="9732" width="12.625" style="5" customWidth="1"/>
    <col min="9733" max="9733" width="13.875" style="5" customWidth="1"/>
    <col min="9734" max="9734" width="16.375" style="5" customWidth="1"/>
    <col min="9735" max="9735" width="14.5" style="5" customWidth="1"/>
    <col min="9736" max="9736" width="12.5" style="5" customWidth="1"/>
    <col min="9737" max="9737" width="13.875" style="5" customWidth="1"/>
    <col min="9738" max="9984" width="8.875" style="5"/>
    <col min="9985" max="9985" width="15.125" style="5" customWidth="1"/>
    <col min="9986" max="9986" width="14.125" style="5" customWidth="1"/>
    <col min="9987" max="9987" width="14.375" style="5" customWidth="1"/>
    <col min="9988" max="9988" width="12.625" style="5" customWidth="1"/>
    <col min="9989" max="9989" width="13.875" style="5" customWidth="1"/>
    <col min="9990" max="9990" width="16.375" style="5" customWidth="1"/>
    <col min="9991" max="9991" width="14.5" style="5" customWidth="1"/>
    <col min="9992" max="9992" width="12.5" style="5" customWidth="1"/>
    <col min="9993" max="9993" width="13.875" style="5" customWidth="1"/>
    <col min="9994" max="10240" width="8.875" style="5"/>
    <col min="10241" max="10241" width="15.125" style="5" customWidth="1"/>
    <col min="10242" max="10242" width="14.125" style="5" customWidth="1"/>
    <col min="10243" max="10243" width="14.375" style="5" customWidth="1"/>
    <col min="10244" max="10244" width="12.625" style="5" customWidth="1"/>
    <col min="10245" max="10245" width="13.875" style="5" customWidth="1"/>
    <col min="10246" max="10246" width="16.375" style="5" customWidth="1"/>
    <col min="10247" max="10247" width="14.5" style="5" customWidth="1"/>
    <col min="10248" max="10248" width="12.5" style="5" customWidth="1"/>
    <col min="10249" max="10249" width="13.875" style="5" customWidth="1"/>
    <col min="10250" max="10496" width="8.875" style="5"/>
    <col min="10497" max="10497" width="15.125" style="5" customWidth="1"/>
    <col min="10498" max="10498" width="14.125" style="5" customWidth="1"/>
    <col min="10499" max="10499" width="14.375" style="5" customWidth="1"/>
    <col min="10500" max="10500" width="12.625" style="5" customWidth="1"/>
    <col min="10501" max="10501" width="13.875" style="5" customWidth="1"/>
    <col min="10502" max="10502" width="16.375" style="5" customWidth="1"/>
    <col min="10503" max="10503" width="14.5" style="5" customWidth="1"/>
    <col min="10504" max="10504" width="12.5" style="5" customWidth="1"/>
    <col min="10505" max="10505" width="13.875" style="5" customWidth="1"/>
    <col min="10506" max="10752" width="8.875" style="5"/>
    <col min="10753" max="10753" width="15.125" style="5" customWidth="1"/>
    <col min="10754" max="10754" width="14.125" style="5" customWidth="1"/>
    <col min="10755" max="10755" width="14.375" style="5" customWidth="1"/>
    <col min="10756" max="10756" width="12.625" style="5" customWidth="1"/>
    <col min="10757" max="10757" width="13.875" style="5" customWidth="1"/>
    <col min="10758" max="10758" width="16.375" style="5" customWidth="1"/>
    <col min="10759" max="10759" width="14.5" style="5" customWidth="1"/>
    <col min="10760" max="10760" width="12.5" style="5" customWidth="1"/>
    <col min="10761" max="10761" width="13.875" style="5" customWidth="1"/>
    <col min="10762" max="11008" width="8.875" style="5"/>
    <col min="11009" max="11009" width="15.125" style="5" customWidth="1"/>
    <col min="11010" max="11010" width="14.125" style="5" customWidth="1"/>
    <col min="11011" max="11011" width="14.375" style="5" customWidth="1"/>
    <col min="11012" max="11012" width="12.625" style="5" customWidth="1"/>
    <col min="11013" max="11013" width="13.875" style="5" customWidth="1"/>
    <col min="11014" max="11014" width="16.375" style="5" customWidth="1"/>
    <col min="11015" max="11015" width="14.5" style="5" customWidth="1"/>
    <col min="11016" max="11016" width="12.5" style="5" customWidth="1"/>
    <col min="11017" max="11017" width="13.875" style="5" customWidth="1"/>
    <col min="11018" max="11264" width="8.875" style="5"/>
    <col min="11265" max="11265" width="15.125" style="5" customWidth="1"/>
    <col min="11266" max="11266" width="14.125" style="5" customWidth="1"/>
    <col min="11267" max="11267" width="14.375" style="5" customWidth="1"/>
    <col min="11268" max="11268" width="12.625" style="5" customWidth="1"/>
    <col min="11269" max="11269" width="13.875" style="5" customWidth="1"/>
    <col min="11270" max="11270" width="16.375" style="5" customWidth="1"/>
    <col min="11271" max="11271" width="14.5" style="5" customWidth="1"/>
    <col min="11272" max="11272" width="12.5" style="5" customWidth="1"/>
    <col min="11273" max="11273" width="13.875" style="5" customWidth="1"/>
    <col min="11274" max="11520" width="8.875" style="5"/>
    <col min="11521" max="11521" width="15.125" style="5" customWidth="1"/>
    <col min="11522" max="11522" width="14.125" style="5" customWidth="1"/>
    <col min="11523" max="11523" width="14.375" style="5" customWidth="1"/>
    <col min="11524" max="11524" width="12.625" style="5" customWidth="1"/>
    <col min="11525" max="11525" width="13.875" style="5" customWidth="1"/>
    <col min="11526" max="11526" width="16.375" style="5" customWidth="1"/>
    <col min="11527" max="11527" width="14.5" style="5" customWidth="1"/>
    <col min="11528" max="11528" width="12.5" style="5" customWidth="1"/>
    <col min="11529" max="11529" width="13.875" style="5" customWidth="1"/>
    <col min="11530" max="11776" width="8.875" style="5"/>
    <col min="11777" max="11777" width="15.125" style="5" customWidth="1"/>
    <col min="11778" max="11778" width="14.125" style="5" customWidth="1"/>
    <col min="11779" max="11779" width="14.375" style="5" customWidth="1"/>
    <col min="11780" max="11780" width="12.625" style="5" customWidth="1"/>
    <col min="11781" max="11781" width="13.875" style="5" customWidth="1"/>
    <col min="11782" max="11782" width="16.375" style="5" customWidth="1"/>
    <col min="11783" max="11783" width="14.5" style="5" customWidth="1"/>
    <col min="11784" max="11784" width="12.5" style="5" customWidth="1"/>
    <col min="11785" max="11785" width="13.875" style="5" customWidth="1"/>
    <col min="11786" max="12032" width="8.875" style="5"/>
    <col min="12033" max="12033" width="15.125" style="5" customWidth="1"/>
    <col min="12034" max="12034" width="14.125" style="5" customWidth="1"/>
    <col min="12035" max="12035" width="14.375" style="5" customWidth="1"/>
    <col min="12036" max="12036" width="12.625" style="5" customWidth="1"/>
    <col min="12037" max="12037" width="13.875" style="5" customWidth="1"/>
    <col min="12038" max="12038" width="16.375" style="5" customWidth="1"/>
    <col min="12039" max="12039" width="14.5" style="5" customWidth="1"/>
    <col min="12040" max="12040" width="12.5" style="5" customWidth="1"/>
    <col min="12041" max="12041" width="13.875" style="5" customWidth="1"/>
    <col min="12042" max="12288" width="8.875" style="5"/>
    <col min="12289" max="12289" width="15.125" style="5" customWidth="1"/>
    <col min="12290" max="12290" width="14.125" style="5" customWidth="1"/>
    <col min="12291" max="12291" width="14.375" style="5" customWidth="1"/>
    <col min="12292" max="12292" width="12.625" style="5" customWidth="1"/>
    <col min="12293" max="12293" width="13.875" style="5" customWidth="1"/>
    <col min="12294" max="12294" width="16.375" style="5" customWidth="1"/>
    <col min="12295" max="12295" width="14.5" style="5" customWidth="1"/>
    <col min="12296" max="12296" width="12.5" style="5" customWidth="1"/>
    <col min="12297" max="12297" width="13.875" style="5" customWidth="1"/>
    <col min="12298" max="12544" width="8.875" style="5"/>
    <col min="12545" max="12545" width="15.125" style="5" customWidth="1"/>
    <col min="12546" max="12546" width="14.125" style="5" customWidth="1"/>
    <col min="12547" max="12547" width="14.375" style="5" customWidth="1"/>
    <col min="12548" max="12548" width="12.625" style="5" customWidth="1"/>
    <col min="12549" max="12549" width="13.875" style="5" customWidth="1"/>
    <col min="12550" max="12550" width="16.375" style="5" customWidth="1"/>
    <col min="12551" max="12551" width="14.5" style="5" customWidth="1"/>
    <col min="12552" max="12552" width="12.5" style="5" customWidth="1"/>
    <col min="12553" max="12553" width="13.875" style="5" customWidth="1"/>
    <col min="12554" max="12800" width="8.875" style="5"/>
    <col min="12801" max="12801" width="15.125" style="5" customWidth="1"/>
    <col min="12802" max="12802" width="14.125" style="5" customWidth="1"/>
    <col min="12803" max="12803" width="14.375" style="5" customWidth="1"/>
    <col min="12804" max="12804" width="12.625" style="5" customWidth="1"/>
    <col min="12805" max="12805" width="13.875" style="5" customWidth="1"/>
    <col min="12806" max="12806" width="16.375" style="5" customWidth="1"/>
    <col min="12807" max="12807" width="14.5" style="5" customWidth="1"/>
    <col min="12808" max="12808" width="12.5" style="5" customWidth="1"/>
    <col min="12809" max="12809" width="13.875" style="5" customWidth="1"/>
    <col min="12810" max="13056" width="8.875" style="5"/>
    <col min="13057" max="13057" width="15.125" style="5" customWidth="1"/>
    <col min="13058" max="13058" width="14.125" style="5" customWidth="1"/>
    <col min="13059" max="13059" width="14.375" style="5" customWidth="1"/>
    <col min="13060" max="13060" width="12.625" style="5" customWidth="1"/>
    <col min="13061" max="13061" width="13.875" style="5" customWidth="1"/>
    <col min="13062" max="13062" width="16.375" style="5" customWidth="1"/>
    <col min="13063" max="13063" width="14.5" style="5" customWidth="1"/>
    <col min="13064" max="13064" width="12.5" style="5" customWidth="1"/>
    <col min="13065" max="13065" width="13.875" style="5" customWidth="1"/>
    <col min="13066" max="13312" width="8.875" style="5"/>
    <col min="13313" max="13313" width="15.125" style="5" customWidth="1"/>
    <col min="13314" max="13314" width="14.125" style="5" customWidth="1"/>
    <col min="13315" max="13315" width="14.375" style="5" customWidth="1"/>
    <col min="13316" max="13316" width="12.625" style="5" customWidth="1"/>
    <col min="13317" max="13317" width="13.875" style="5" customWidth="1"/>
    <col min="13318" max="13318" width="16.375" style="5" customWidth="1"/>
    <col min="13319" max="13319" width="14.5" style="5" customWidth="1"/>
    <col min="13320" max="13320" width="12.5" style="5" customWidth="1"/>
    <col min="13321" max="13321" width="13.875" style="5" customWidth="1"/>
    <col min="13322" max="13568" width="8.875" style="5"/>
    <col min="13569" max="13569" width="15.125" style="5" customWidth="1"/>
    <col min="13570" max="13570" width="14.125" style="5" customWidth="1"/>
    <col min="13571" max="13571" width="14.375" style="5" customWidth="1"/>
    <col min="13572" max="13572" width="12.625" style="5" customWidth="1"/>
    <col min="13573" max="13573" width="13.875" style="5" customWidth="1"/>
    <col min="13574" max="13574" width="16.375" style="5" customWidth="1"/>
    <col min="13575" max="13575" width="14.5" style="5" customWidth="1"/>
    <col min="13576" max="13576" width="12.5" style="5" customWidth="1"/>
    <col min="13577" max="13577" width="13.875" style="5" customWidth="1"/>
    <col min="13578" max="13824" width="8.875" style="5"/>
    <col min="13825" max="13825" width="15.125" style="5" customWidth="1"/>
    <col min="13826" max="13826" width="14.125" style="5" customWidth="1"/>
    <col min="13827" max="13827" width="14.375" style="5" customWidth="1"/>
    <col min="13828" max="13828" width="12.625" style="5" customWidth="1"/>
    <col min="13829" max="13829" width="13.875" style="5" customWidth="1"/>
    <col min="13830" max="13830" width="16.375" style="5" customWidth="1"/>
    <col min="13831" max="13831" width="14.5" style="5" customWidth="1"/>
    <col min="13832" max="13832" width="12.5" style="5" customWidth="1"/>
    <col min="13833" max="13833" width="13.875" style="5" customWidth="1"/>
    <col min="13834" max="14080" width="8.875" style="5"/>
    <col min="14081" max="14081" width="15.125" style="5" customWidth="1"/>
    <col min="14082" max="14082" width="14.125" style="5" customWidth="1"/>
    <col min="14083" max="14083" width="14.375" style="5" customWidth="1"/>
    <col min="14084" max="14084" width="12.625" style="5" customWidth="1"/>
    <col min="14085" max="14085" width="13.875" style="5" customWidth="1"/>
    <col min="14086" max="14086" width="16.375" style="5" customWidth="1"/>
    <col min="14087" max="14087" width="14.5" style="5" customWidth="1"/>
    <col min="14088" max="14088" width="12.5" style="5" customWidth="1"/>
    <col min="14089" max="14089" width="13.875" style="5" customWidth="1"/>
    <col min="14090" max="14336" width="8.875" style="5"/>
    <col min="14337" max="14337" width="15.125" style="5" customWidth="1"/>
    <col min="14338" max="14338" width="14.125" style="5" customWidth="1"/>
    <col min="14339" max="14339" width="14.375" style="5" customWidth="1"/>
    <col min="14340" max="14340" width="12.625" style="5" customWidth="1"/>
    <col min="14341" max="14341" width="13.875" style="5" customWidth="1"/>
    <col min="14342" max="14342" width="16.375" style="5" customWidth="1"/>
    <col min="14343" max="14343" width="14.5" style="5" customWidth="1"/>
    <col min="14344" max="14344" width="12.5" style="5" customWidth="1"/>
    <col min="14345" max="14345" width="13.875" style="5" customWidth="1"/>
    <col min="14346" max="14592" width="8.875" style="5"/>
    <col min="14593" max="14593" width="15.125" style="5" customWidth="1"/>
    <col min="14594" max="14594" width="14.125" style="5" customWidth="1"/>
    <col min="14595" max="14595" width="14.375" style="5" customWidth="1"/>
    <col min="14596" max="14596" width="12.625" style="5" customWidth="1"/>
    <col min="14597" max="14597" width="13.875" style="5" customWidth="1"/>
    <col min="14598" max="14598" width="16.375" style="5" customWidth="1"/>
    <col min="14599" max="14599" width="14.5" style="5" customWidth="1"/>
    <col min="14600" max="14600" width="12.5" style="5" customWidth="1"/>
    <col min="14601" max="14601" width="13.875" style="5" customWidth="1"/>
    <col min="14602" max="14848" width="8.875" style="5"/>
    <col min="14849" max="14849" width="15.125" style="5" customWidth="1"/>
    <col min="14850" max="14850" width="14.125" style="5" customWidth="1"/>
    <col min="14851" max="14851" width="14.375" style="5" customWidth="1"/>
    <col min="14852" max="14852" width="12.625" style="5" customWidth="1"/>
    <col min="14853" max="14853" width="13.875" style="5" customWidth="1"/>
    <col min="14854" max="14854" width="16.375" style="5" customWidth="1"/>
    <col min="14855" max="14855" width="14.5" style="5" customWidth="1"/>
    <col min="14856" max="14856" width="12.5" style="5" customWidth="1"/>
    <col min="14857" max="14857" width="13.875" style="5" customWidth="1"/>
    <col min="14858" max="15104" width="8.875" style="5"/>
    <col min="15105" max="15105" width="15.125" style="5" customWidth="1"/>
    <col min="15106" max="15106" width="14.125" style="5" customWidth="1"/>
    <col min="15107" max="15107" width="14.375" style="5" customWidth="1"/>
    <col min="15108" max="15108" width="12.625" style="5" customWidth="1"/>
    <col min="15109" max="15109" width="13.875" style="5" customWidth="1"/>
    <col min="15110" max="15110" width="16.375" style="5" customWidth="1"/>
    <col min="15111" max="15111" width="14.5" style="5" customWidth="1"/>
    <col min="15112" max="15112" width="12.5" style="5" customWidth="1"/>
    <col min="15113" max="15113" width="13.875" style="5" customWidth="1"/>
    <col min="15114" max="15360" width="8.875" style="5"/>
    <col min="15361" max="15361" width="15.125" style="5" customWidth="1"/>
    <col min="15362" max="15362" width="14.125" style="5" customWidth="1"/>
    <col min="15363" max="15363" width="14.375" style="5" customWidth="1"/>
    <col min="15364" max="15364" width="12.625" style="5" customWidth="1"/>
    <col min="15365" max="15365" width="13.875" style="5" customWidth="1"/>
    <col min="15366" max="15366" width="16.375" style="5" customWidth="1"/>
    <col min="15367" max="15367" width="14.5" style="5" customWidth="1"/>
    <col min="15368" max="15368" width="12.5" style="5" customWidth="1"/>
    <col min="15369" max="15369" width="13.875" style="5" customWidth="1"/>
    <col min="15370" max="15616" width="8.875" style="5"/>
    <col min="15617" max="15617" width="15.125" style="5" customWidth="1"/>
    <col min="15618" max="15618" width="14.125" style="5" customWidth="1"/>
    <col min="15619" max="15619" width="14.375" style="5" customWidth="1"/>
    <col min="15620" max="15620" width="12.625" style="5" customWidth="1"/>
    <col min="15621" max="15621" width="13.875" style="5" customWidth="1"/>
    <col min="15622" max="15622" width="16.375" style="5" customWidth="1"/>
    <col min="15623" max="15623" width="14.5" style="5" customWidth="1"/>
    <col min="15624" max="15624" width="12.5" style="5" customWidth="1"/>
    <col min="15625" max="15625" width="13.875" style="5" customWidth="1"/>
    <col min="15626" max="15872" width="8.875" style="5"/>
    <col min="15873" max="15873" width="15.125" style="5" customWidth="1"/>
    <col min="15874" max="15874" width="14.125" style="5" customWidth="1"/>
    <col min="15875" max="15875" width="14.375" style="5" customWidth="1"/>
    <col min="15876" max="15876" width="12.625" style="5" customWidth="1"/>
    <col min="15877" max="15877" width="13.875" style="5" customWidth="1"/>
    <col min="15878" max="15878" width="16.375" style="5" customWidth="1"/>
    <col min="15879" max="15879" width="14.5" style="5" customWidth="1"/>
    <col min="15880" max="15880" width="12.5" style="5" customWidth="1"/>
    <col min="15881" max="15881" width="13.875" style="5" customWidth="1"/>
    <col min="15882" max="16128" width="8.875" style="5"/>
    <col min="16129" max="16129" width="15.125" style="5" customWidth="1"/>
    <col min="16130" max="16130" width="14.125" style="5" customWidth="1"/>
    <col min="16131" max="16131" width="14.375" style="5" customWidth="1"/>
    <col min="16132" max="16132" width="12.625" style="5" customWidth="1"/>
    <col min="16133" max="16133" width="13.875" style="5" customWidth="1"/>
    <col min="16134" max="16134" width="16.375" style="5" customWidth="1"/>
    <col min="16135" max="16135" width="14.5" style="5" customWidth="1"/>
    <col min="16136" max="16136" width="12.5" style="5" customWidth="1"/>
    <col min="16137" max="16137" width="13.875" style="5" customWidth="1"/>
    <col min="16138" max="16384" width="8.875" style="5"/>
  </cols>
  <sheetData>
    <row r="1" spans="1:9" ht="19.5">
      <c r="A1" s="558" t="s">
        <v>487</v>
      </c>
      <c r="B1" s="558"/>
      <c r="C1" s="558"/>
      <c r="D1" s="558"/>
      <c r="E1" s="558"/>
      <c r="F1" s="558"/>
      <c r="G1" s="558"/>
      <c r="H1" s="558"/>
      <c r="I1" s="558"/>
    </row>
    <row r="2" spans="1:9" ht="12" customHeight="1"/>
    <row r="3" spans="1:9">
      <c r="A3" s="62" t="s">
        <v>0</v>
      </c>
      <c r="B3" s="63"/>
      <c r="C3" s="63"/>
      <c r="D3" s="171"/>
      <c r="E3" s="63"/>
      <c r="F3" s="63"/>
      <c r="G3" s="63"/>
      <c r="H3" s="63"/>
      <c r="I3" s="171"/>
    </row>
    <row r="4" spans="1:9">
      <c r="A4" s="8" t="s">
        <v>476</v>
      </c>
      <c r="B4" s="8" t="s">
        <v>477</v>
      </c>
      <c r="C4" s="8" t="s">
        <v>481</v>
      </c>
      <c r="D4" s="9" t="s">
        <v>1</v>
      </c>
      <c r="E4" s="10" t="s">
        <v>479</v>
      </c>
      <c r="F4" s="11" t="s">
        <v>2</v>
      </c>
      <c r="G4" s="8" t="s">
        <v>480</v>
      </c>
      <c r="H4" s="11" t="s">
        <v>2</v>
      </c>
      <c r="I4" s="172" t="s">
        <v>55</v>
      </c>
    </row>
    <row r="5" spans="1:9">
      <c r="A5" s="14"/>
      <c r="B5" s="14" t="s">
        <v>3</v>
      </c>
      <c r="C5" s="8" t="s">
        <v>4</v>
      </c>
      <c r="D5" s="9" t="s">
        <v>4</v>
      </c>
      <c r="E5" s="11" t="s">
        <v>3</v>
      </c>
      <c r="F5" s="11"/>
      <c r="G5" s="8" t="s">
        <v>56</v>
      </c>
      <c r="H5" s="8"/>
      <c r="I5" s="12" t="s">
        <v>4</v>
      </c>
    </row>
    <row r="6" spans="1:9">
      <c r="A6" s="173" t="s">
        <v>5</v>
      </c>
      <c r="B6" s="16"/>
      <c r="C6" s="17"/>
      <c r="D6" s="18"/>
      <c r="E6" s="17"/>
      <c r="F6" s="17"/>
      <c r="G6" s="17"/>
      <c r="H6" s="17"/>
      <c r="I6" s="19"/>
    </row>
    <row r="7" spans="1:9">
      <c r="A7" s="20" t="s">
        <v>6</v>
      </c>
      <c r="B7" s="21">
        <f>SUM(B8:B10)</f>
        <v>4</v>
      </c>
      <c r="C7" s="22">
        <f>SUM(C8:C10)</f>
        <v>14816</v>
      </c>
      <c r="D7" s="23">
        <f>IF(B7,C7/B7,0)</f>
        <v>3704</v>
      </c>
      <c r="E7" s="22">
        <f>SUM(E8:E10)</f>
        <v>38</v>
      </c>
      <c r="F7" s="24">
        <f>E7/$E$66</f>
        <v>6.083601492083313E-4</v>
      </c>
      <c r="G7" s="22">
        <f>SUM(G8:G10)</f>
        <v>157705</v>
      </c>
      <c r="H7" s="24">
        <f>G7/$G$66</f>
        <v>1.7455270488899208E-2</v>
      </c>
      <c r="I7" s="25">
        <f>IF(E7,G7/E7,0)</f>
        <v>4150.1315789473683</v>
      </c>
    </row>
    <row r="8" spans="1:9">
      <c r="A8" s="26" t="s">
        <v>388</v>
      </c>
      <c r="B8" s="27">
        <f>VLOOKUP(A8,[8]進出口值表查詢結果!$A$2:$C$14,3,0)</f>
        <v>4</v>
      </c>
      <c r="C8" s="28">
        <f>VLOOKUP(A8,[8]進出口值表查詢結果!$A$2:$C$14,2,0)</f>
        <v>14816</v>
      </c>
      <c r="D8" s="23">
        <f t="shared" ref="D8:D65" si="0">IF(B8,C8/B8,0)</f>
        <v>3704</v>
      </c>
      <c r="E8" s="28">
        <f>VLOOKUP(A8,[9]進出口值表查詢結果!$A$1:$C$17,3,0)</f>
        <v>38</v>
      </c>
      <c r="F8" s="24">
        <f>E8/$E$66</f>
        <v>6.083601492083313E-4</v>
      </c>
      <c r="G8" s="28">
        <f>VLOOKUP(A8,[9]進出口值表查詢結果!$A$1:$C$17,2,0)</f>
        <v>157705</v>
      </c>
      <c r="H8" s="24">
        <f>G8/$G$66</f>
        <v>1.7455270488899208E-2</v>
      </c>
      <c r="I8" s="25">
        <f t="shared" ref="I8:I66" si="1">IF(E8,G8/E8,0)</f>
        <v>4150.1315789473683</v>
      </c>
    </row>
    <row r="9" spans="1:9">
      <c r="A9" s="30" t="s">
        <v>7</v>
      </c>
      <c r="B9" s="27">
        <v>0</v>
      </c>
      <c r="C9" s="28">
        <v>0</v>
      </c>
      <c r="D9" s="23">
        <f t="shared" si="0"/>
        <v>0</v>
      </c>
      <c r="E9" s="28">
        <v>0</v>
      </c>
      <c r="F9" s="24">
        <f>E9/$E$66</f>
        <v>0</v>
      </c>
      <c r="G9" s="28">
        <v>0</v>
      </c>
      <c r="H9" s="24">
        <f>G9/$G$66</f>
        <v>0</v>
      </c>
      <c r="I9" s="25">
        <f t="shared" si="1"/>
        <v>0</v>
      </c>
    </row>
    <row r="10" spans="1:9">
      <c r="A10" s="30" t="s">
        <v>8</v>
      </c>
      <c r="B10" s="27">
        <v>0</v>
      </c>
      <c r="C10" s="28">
        <v>0</v>
      </c>
      <c r="D10" s="23">
        <f t="shared" si="0"/>
        <v>0</v>
      </c>
      <c r="E10" s="28">
        <v>0</v>
      </c>
      <c r="F10" s="24">
        <f>E10/$E$66</f>
        <v>0</v>
      </c>
      <c r="G10" s="28">
        <v>0</v>
      </c>
      <c r="H10" s="24">
        <f>G10/$G$66</f>
        <v>0</v>
      </c>
      <c r="I10" s="25">
        <f t="shared" si="1"/>
        <v>0</v>
      </c>
    </row>
    <row r="11" spans="1:9">
      <c r="A11" s="31"/>
      <c r="B11" s="27"/>
      <c r="C11" s="27"/>
      <c r="D11" s="23"/>
      <c r="E11" s="27"/>
      <c r="F11" s="29"/>
      <c r="G11" s="27"/>
      <c r="H11" s="29"/>
      <c r="I11" s="25"/>
    </row>
    <row r="12" spans="1:9">
      <c r="A12" s="32" t="s">
        <v>9</v>
      </c>
      <c r="B12" s="33">
        <f>SUM(B13:B39)</f>
        <v>11</v>
      </c>
      <c r="C12" s="33">
        <f>SUM(C13:C39)</f>
        <v>48589</v>
      </c>
      <c r="D12" s="23">
        <f t="shared" si="0"/>
        <v>4417.181818181818</v>
      </c>
      <c r="E12" s="33">
        <f>SUM(E13:E39)</f>
        <v>148</v>
      </c>
      <c r="F12" s="24">
        <f t="shared" ref="F12:F39" si="2">E12/$E$66</f>
        <v>2.3694026863903431E-3</v>
      </c>
      <c r="G12" s="33">
        <f>SUM(G13:G39)</f>
        <v>313072</v>
      </c>
      <c r="H12" s="24">
        <f t="shared" ref="H12:H39" si="3">G12/$G$66</f>
        <v>3.4651764005584181E-2</v>
      </c>
      <c r="I12" s="25">
        <f t="shared" si="1"/>
        <v>2115.3513513513512</v>
      </c>
    </row>
    <row r="13" spans="1:9">
      <c r="A13" s="453" t="s">
        <v>202</v>
      </c>
      <c r="B13" s="27">
        <v>0</v>
      </c>
      <c r="C13" s="28">
        <v>0</v>
      </c>
      <c r="D13" s="23">
        <f t="shared" si="0"/>
        <v>0</v>
      </c>
      <c r="E13" s="28">
        <v>0</v>
      </c>
      <c r="F13" s="24">
        <f t="shared" si="2"/>
        <v>0</v>
      </c>
      <c r="G13" s="28">
        <v>0</v>
      </c>
      <c r="H13" s="24">
        <f t="shared" si="3"/>
        <v>0</v>
      </c>
      <c r="I13" s="25">
        <f t="shared" si="1"/>
        <v>0</v>
      </c>
    </row>
    <row r="14" spans="1:9">
      <c r="A14" s="453" t="s">
        <v>203</v>
      </c>
      <c r="B14" s="27">
        <f>VLOOKUP(A14,[8]進出口值表查詢結果!$A$2:$C$14,3,0)</f>
        <v>9</v>
      </c>
      <c r="C14" s="28">
        <f>VLOOKUP(A14,[8]進出口值表查詢結果!$A$2:$C$14,2,0)</f>
        <v>44679</v>
      </c>
      <c r="D14" s="23">
        <f t="shared" si="0"/>
        <v>4964.333333333333</v>
      </c>
      <c r="E14" s="28">
        <f>VLOOKUP(A14,[9]進出口值表查詢結果!$A$1:$C$17,3,0)</f>
        <v>31</v>
      </c>
      <c r="F14" s="24">
        <f t="shared" si="2"/>
        <v>4.9629380593311243E-4</v>
      </c>
      <c r="G14" s="28">
        <f>VLOOKUP(A14,[9]進出口值表查詢結果!$A$1:$C$17,2,0)</f>
        <v>165179</v>
      </c>
      <c r="H14" s="24">
        <f t="shared" si="3"/>
        <v>1.8282515608800499E-2</v>
      </c>
      <c r="I14" s="25">
        <f t="shared" si="1"/>
        <v>5328.3548387096771</v>
      </c>
    </row>
    <row r="15" spans="1:9">
      <c r="A15" s="454" t="s">
        <v>10</v>
      </c>
      <c r="B15" s="27">
        <v>0</v>
      </c>
      <c r="C15" s="28">
        <v>0</v>
      </c>
      <c r="D15" s="23">
        <f t="shared" si="0"/>
        <v>0</v>
      </c>
      <c r="E15" s="28">
        <f>VLOOKUP(A15,[9]進出口值表查詢結果!$A$1:$C$17,3,0)</f>
        <v>4</v>
      </c>
      <c r="F15" s="24">
        <f t="shared" si="2"/>
        <v>6.4037910442982246E-5</v>
      </c>
      <c r="G15" s="28">
        <f>VLOOKUP(A15,[9]進出口值表查詢結果!$A$1:$C$17,2,0)</f>
        <v>10236</v>
      </c>
      <c r="H15" s="24">
        <f t="shared" si="3"/>
        <v>1.1329517055538652E-3</v>
      </c>
      <c r="I15" s="25">
        <f t="shared" si="1"/>
        <v>2559</v>
      </c>
    </row>
    <row r="16" spans="1:9">
      <c r="A16" s="453" t="s">
        <v>204</v>
      </c>
      <c r="B16" s="27">
        <v>0</v>
      </c>
      <c r="C16" s="28">
        <v>0</v>
      </c>
      <c r="D16" s="23">
        <f t="shared" si="0"/>
        <v>0</v>
      </c>
      <c r="E16" s="28">
        <f>VLOOKUP(A16,[9]進出口值表查詢結果!$A$1:$C$17,3,0)</f>
        <v>94</v>
      </c>
      <c r="F16" s="24">
        <f t="shared" si="2"/>
        <v>1.5048908954100827E-3</v>
      </c>
      <c r="G16" s="28">
        <f>VLOOKUP(A16,[9]進出口值表查詢結果!$A$1:$C$17,2,0)</f>
        <v>44192</v>
      </c>
      <c r="H16" s="24">
        <f t="shared" si="3"/>
        <v>4.8913053704412283E-3</v>
      </c>
      <c r="I16" s="25">
        <f t="shared" si="1"/>
        <v>470.12765957446811</v>
      </c>
    </row>
    <row r="17" spans="1:9">
      <c r="A17" s="454" t="s">
        <v>11</v>
      </c>
      <c r="B17" s="27">
        <f>VLOOKUP(A17,[8]進出口值表查詢結果!$A$2:$C$14,3,0)</f>
        <v>2</v>
      </c>
      <c r="C17" s="28">
        <f>VLOOKUP(A17,[8]進出口值表查詢結果!$A$2:$C$14,2,0)</f>
        <v>3910</v>
      </c>
      <c r="D17" s="23">
        <f t="shared" si="0"/>
        <v>1955</v>
      </c>
      <c r="E17" s="28">
        <f>VLOOKUP(A17,[9]進出口值表查詢結果!$A$1:$C$17,3,0)</f>
        <v>17</v>
      </c>
      <c r="F17" s="24">
        <f t="shared" si="2"/>
        <v>2.7216111938267452E-4</v>
      </c>
      <c r="G17" s="28">
        <f>VLOOKUP(A17,[9]進出口值表查詢結果!$A$1:$C$17,2,0)</f>
        <v>90818</v>
      </c>
      <c r="H17" s="24">
        <f t="shared" si="3"/>
        <v>1.0052013285950658E-2</v>
      </c>
      <c r="I17" s="25">
        <f t="shared" si="1"/>
        <v>5342.2352941176468</v>
      </c>
    </row>
    <row r="18" spans="1:9">
      <c r="A18" s="454" t="s">
        <v>12</v>
      </c>
      <c r="B18" s="27">
        <v>0</v>
      </c>
      <c r="C18" s="28">
        <v>0</v>
      </c>
      <c r="D18" s="23">
        <f t="shared" si="0"/>
        <v>0</v>
      </c>
      <c r="E18" s="28">
        <v>0</v>
      </c>
      <c r="F18" s="24">
        <f t="shared" si="2"/>
        <v>0</v>
      </c>
      <c r="G18" s="28">
        <v>0</v>
      </c>
      <c r="H18" s="24">
        <f t="shared" si="3"/>
        <v>0</v>
      </c>
      <c r="I18" s="25">
        <f t="shared" si="1"/>
        <v>0</v>
      </c>
    </row>
    <row r="19" spans="1:9">
      <c r="A19" s="453" t="s">
        <v>205</v>
      </c>
      <c r="B19" s="27">
        <v>0</v>
      </c>
      <c r="C19" s="28">
        <v>0</v>
      </c>
      <c r="D19" s="23">
        <f t="shared" si="0"/>
        <v>0</v>
      </c>
      <c r="E19" s="28">
        <v>0</v>
      </c>
      <c r="F19" s="24">
        <f t="shared" si="2"/>
        <v>0</v>
      </c>
      <c r="G19" s="28">
        <v>0</v>
      </c>
      <c r="H19" s="24">
        <f t="shared" si="3"/>
        <v>0</v>
      </c>
      <c r="I19" s="25">
        <f t="shared" si="1"/>
        <v>0</v>
      </c>
    </row>
    <row r="20" spans="1:9">
      <c r="A20" s="454" t="s">
        <v>206</v>
      </c>
      <c r="B20" s="27">
        <v>0</v>
      </c>
      <c r="C20" s="28">
        <v>0</v>
      </c>
      <c r="D20" s="23">
        <f t="shared" si="0"/>
        <v>0</v>
      </c>
      <c r="E20" s="28">
        <v>0</v>
      </c>
      <c r="F20" s="24">
        <f t="shared" si="2"/>
        <v>0</v>
      </c>
      <c r="G20" s="28">
        <v>0</v>
      </c>
      <c r="H20" s="24">
        <f t="shared" si="3"/>
        <v>0</v>
      </c>
      <c r="I20" s="25">
        <f t="shared" si="1"/>
        <v>0</v>
      </c>
    </row>
    <row r="21" spans="1:9">
      <c r="A21" s="453" t="s">
        <v>207</v>
      </c>
      <c r="B21" s="27">
        <v>0</v>
      </c>
      <c r="C21" s="28">
        <v>0</v>
      </c>
      <c r="D21" s="23">
        <f t="shared" si="0"/>
        <v>0</v>
      </c>
      <c r="E21" s="28">
        <v>0</v>
      </c>
      <c r="F21" s="24">
        <f t="shared" si="2"/>
        <v>0</v>
      </c>
      <c r="G21" s="28">
        <v>0</v>
      </c>
      <c r="H21" s="24">
        <f t="shared" si="3"/>
        <v>0</v>
      </c>
      <c r="I21" s="25">
        <f t="shared" si="1"/>
        <v>0</v>
      </c>
    </row>
    <row r="22" spans="1:9">
      <c r="A22" s="454" t="s">
        <v>14</v>
      </c>
      <c r="B22" s="27">
        <v>0</v>
      </c>
      <c r="C22" s="28">
        <v>0</v>
      </c>
      <c r="D22" s="23">
        <f t="shared" si="0"/>
        <v>0</v>
      </c>
      <c r="E22" s="28">
        <v>0</v>
      </c>
      <c r="F22" s="24">
        <f t="shared" si="2"/>
        <v>0</v>
      </c>
      <c r="G22" s="28">
        <v>0</v>
      </c>
      <c r="H22" s="24">
        <f t="shared" si="3"/>
        <v>0</v>
      </c>
      <c r="I22" s="25">
        <f t="shared" si="1"/>
        <v>0</v>
      </c>
    </row>
    <row r="23" spans="1:9">
      <c r="A23" s="454" t="s">
        <v>15</v>
      </c>
      <c r="B23" s="27">
        <v>0</v>
      </c>
      <c r="C23" s="28">
        <v>0</v>
      </c>
      <c r="D23" s="23">
        <f t="shared" si="0"/>
        <v>0</v>
      </c>
      <c r="E23" s="28">
        <v>0</v>
      </c>
      <c r="F23" s="24">
        <f t="shared" si="2"/>
        <v>0</v>
      </c>
      <c r="G23" s="28">
        <v>0</v>
      </c>
      <c r="H23" s="24">
        <f t="shared" si="3"/>
        <v>0</v>
      </c>
      <c r="I23" s="25">
        <f t="shared" si="1"/>
        <v>0</v>
      </c>
    </row>
    <row r="24" spans="1:9">
      <c r="A24" s="454" t="s">
        <v>16</v>
      </c>
      <c r="B24" s="27">
        <v>0</v>
      </c>
      <c r="C24" s="28">
        <v>0</v>
      </c>
      <c r="D24" s="23">
        <f t="shared" si="0"/>
        <v>0</v>
      </c>
      <c r="E24" s="28">
        <v>0</v>
      </c>
      <c r="F24" s="24">
        <f t="shared" si="2"/>
        <v>0</v>
      </c>
      <c r="G24" s="28">
        <v>0</v>
      </c>
      <c r="H24" s="24">
        <f t="shared" si="3"/>
        <v>0</v>
      </c>
      <c r="I24" s="25">
        <f t="shared" si="1"/>
        <v>0</v>
      </c>
    </row>
    <row r="25" spans="1:9">
      <c r="A25" s="453" t="s">
        <v>208</v>
      </c>
      <c r="B25" s="27">
        <v>0</v>
      </c>
      <c r="C25" s="28">
        <v>0</v>
      </c>
      <c r="D25" s="23">
        <f t="shared" si="0"/>
        <v>0</v>
      </c>
      <c r="E25" s="28">
        <v>0</v>
      </c>
      <c r="F25" s="24">
        <f t="shared" si="2"/>
        <v>0</v>
      </c>
      <c r="G25" s="28">
        <v>0</v>
      </c>
      <c r="H25" s="24">
        <f t="shared" si="3"/>
        <v>0</v>
      </c>
      <c r="I25" s="25">
        <f t="shared" si="1"/>
        <v>0</v>
      </c>
    </row>
    <row r="26" spans="1:9">
      <c r="A26" s="453" t="s">
        <v>209</v>
      </c>
      <c r="B26" s="27">
        <v>0</v>
      </c>
      <c r="C26" s="28">
        <v>0</v>
      </c>
      <c r="D26" s="23">
        <f t="shared" si="0"/>
        <v>0</v>
      </c>
      <c r="E26" s="28">
        <v>0</v>
      </c>
      <c r="F26" s="24">
        <f t="shared" si="2"/>
        <v>0</v>
      </c>
      <c r="G26" s="28">
        <v>0</v>
      </c>
      <c r="H26" s="24">
        <f t="shared" si="3"/>
        <v>0</v>
      </c>
      <c r="I26" s="25">
        <f t="shared" si="1"/>
        <v>0</v>
      </c>
    </row>
    <row r="27" spans="1:9">
      <c r="A27" s="455" t="s">
        <v>210</v>
      </c>
      <c r="B27" s="27">
        <v>0</v>
      </c>
      <c r="C27" s="28">
        <v>0</v>
      </c>
      <c r="D27" s="23">
        <f t="shared" si="0"/>
        <v>0</v>
      </c>
      <c r="E27" s="28">
        <v>0</v>
      </c>
      <c r="F27" s="24">
        <f t="shared" si="2"/>
        <v>0</v>
      </c>
      <c r="G27" s="28">
        <v>0</v>
      </c>
      <c r="H27" s="24">
        <f t="shared" si="3"/>
        <v>0</v>
      </c>
      <c r="I27" s="25">
        <f t="shared" si="1"/>
        <v>0</v>
      </c>
    </row>
    <row r="28" spans="1:9">
      <c r="A28" s="455" t="s">
        <v>211</v>
      </c>
      <c r="B28" s="27">
        <v>0</v>
      </c>
      <c r="C28" s="28">
        <v>0</v>
      </c>
      <c r="D28" s="23">
        <f t="shared" si="0"/>
        <v>0</v>
      </c>
      <c r="E28" s="28">
        <v>0</v>
      </c>
      <c r="F28" s="24">
        <f t="shared" si="2"/>
        <v>0</v>
      </c>
      <c r="G28" s="28">
        <v>0</v>
      </c>
      <c r="H28" s="24">
        <f t="shared" si="3"/>
        <v>0</v>
      </c>
      <c r="I28" s="25">
        <f t="shared" si="1"/>
        <v>0</v>
      </c>
    </row>
    <row r="29" spans="1:9">
      <c r="A29" s="454" t="s">
        <v>212</v>
      </c>
      <c r="B29" s="27">
        <v>0</v>
      </c>
      <c r="C29" s="28">
        <v>0</v>
      </c>
      <c r="D29" s="23">
        <f t="shared" si="0"/>
        <v>0</v>
      </c>
      <c r="E29" s="28">
        <v>0</v>
      </c>
      <c r="F29" s="24">
        <f t="shared" si="2"/>
        <v>0</v>
      </c>
      <c r="G29" s="28">
        <v>0</v>
      </c>
      <c r="H29" s="24">
        <f t="shared" si="3"/>
        <v>0</v>
      </c>
      <c r="I29" s="25">
        <f t="shared" si="1"/>
        <v>0</v>
      </c>
    </row>
    <row r="30" spans="1:9">
      <c r="A30" s="454" t="s">
        <v>213</v>
      </c>
      <c r="B30" s="27">
        <v>0</v>
      </c>
      <c r="C30" s="28">
        <v>0</v>
      </c>
      <c r="D30" s="23">
        <f t="shared" si="0"/>
        <v>0</v>
      </c>
      <c r="E30" s="560">
        <v>0</v>
      </c>
      <c r="F30" s="561">
        <f t="shared" si="2"/>
        <v>0</v>
      </c>
      <c r="G30" s="560">
        <v>0</v>
      </c>
      <c r="H30" s="561">
        <f t="shared" si="3"/>
        <v>0</v>
      </c>
      <c r="I30" s="562">
        <f t="shared" si="1"/>
        <v>0</v>
      </c>
    </row>
    <row r="31" spans="1:9">
      <c r="A31" s="454" t="s">
        <v>17</v>
      </c>
      <c r="B31" s="27">
        <v>0</v>
      </c>
      <c r="C31" s="28">
        <v>0</v>
      </c>
      <c r="D31" s="23">
        <f t="shared" si="0"/>
        <v>0</v>
      </c>
      <c r="E31" s="560">
        <v>0</v>
      </c>
      <c r="F31" s="561">
        <f t="shared" si="2"/>
        <v>0</v>
      </c>
      <c r="G31" s="560">
        <v>0</v>
      </c>
      <c r="H31" s="561">
        <f t="shared" si="3"/>
        <v>0</v>
      </c>
      <c r="I31" s="562">
        <f t="shared" si="1"/>
        <v>0</v>
      </c>
    </row>
    <row r="32" spans="1:9">
      <c r="A32" s="454" t="s">
        <v>18</v>
      </c>
      <c r="B32" s="27">
        <v>0</v>
      </c>
      <c r="C32" s="28">
        <v>0</v>
      </c>
      <c r="D32" s="23">
        <f t="shared" si="0"/>
        <v>0</v>
      </c>
      <c r="E32" s="560">
        <f>VLOOKUP(A32,[9]進出口值表查詢結果!$A$2:$C$19,3,0)</f>
        <v>2</v>
      </c>
      <c r="F32" s="561">
        <f t="shared" si="2"/>
        <v>3.2018955221491123E-5</v>
      </c>
      <c r="G32" s="560">
        <f>VLOOKUP(A32,[9]進出口值表查詢結果!$A$2:$C$19,2,0)</f>
        <v>2647</v>
      </c>
      <c r="H32" s="561">
        <f t="shared" si="3"/>
        <v>2.9297803483793288E-4</v>
      </c>
      <c r="I32" s="562">
        <f t="shared" si="1"/>
        <v>1323.5</v>
      </c>
    </row>
    <row r="33" spans="1:9">
      <c r="A33" s="454" t="s">
        <v>214</v>
      </c>
      <c r="B33" s="27">
        <v>0</v>
      </c>
      <c r="C33" s="28">
        <v>0</v>
      </c>
      <c r="D33" s="23">
        <f t="shared" si="0"/>
        <v>0</v>
      </c>
      <c r="E33" s="560">
        <v>0</v>
      </c>
      <c r="F33" s="561">
        <f t="shared" si="2"/>
        <v>0</v>
      </c>
      <c r="G33" s="560">
        <v>0</v>
      </c>
      <c r="H33" s="561">
        <f t="shared" si="3"/>
        <v>0</v>
      </c>
      <c r="I33" s="562">
        <f t="shared" si="1"/>
        <v>0</v>
      </c>
    </row>
    <row r="34" spans="1:9">
      <c r="A34" s="454" t="s">
        <v>215</v>
      </c>
      <c r="B34" s="27">
        <v>0</v>
      </c>
      <c r="C34" s="28">
        <v>0</v>
      </c>
      <c r="D34" s="23">
        <f t="shared" si="0"/>
        <v>0</v>
      </c>
      <c r="E34" s="560">
        <v>0</v>
      </c>
      <c r="F34" s="561">
        <f t="shared" si="2"/>
        <v>0</v>
      </c>
      <c r="G34" s="560">
        <v>0</v>
      </c>
      <c r="H34" s="561">
        <f t="shared" si="3"/>
        <v>0</v>
      </c>
      <c r="I34" s="562">
        <f t="shared" si="1"/>
        <v>0</v>
      </c>
    </row>
    <row r="35" spans="1:9">
      <c r="A35" s="454" t="s">
        <v>216</v>
      </c>
      <c r="B35" s="27">
        <v>0</v>
      </c>
      <c r="C35" s="28">
        <v>0</v>
      </c>
      <c r="D35" s="23">
        <f t="shared" si="0"/>
        <v>0</v>
      </c>
      <c r="E35" s="560">
        <v>0</v>
      </c>
      <c r="F35" s="561">
        <f t="shared" si="2"/>
        <v>0</v>
      </c>
      <c r="G35" s="560">
        <v>0</v>
      </c>
      <c r="H35" s="561">
        <f t="shared" si="3"/>
        <v>0</v>
      </c>
      <c r="I35" s="562">
        <f t="shared" si="1"/>
        <v>0</v>
      </c>
    </row>
    <row r="36" spans="1:9">
      <c r="A36" s="454" t="s">
        <v>217</v>
      </c>
      <c r="B36" s="27">
        <v>0</v>
      </c>
      <c r="C36" s="28">
        <v>0</v>
      </c>
      <c r="D36" s="23">
        <f t="shared" si="0"/>
        <v>0</v>
      </c>
      <c r="E36" s="28">
        <v>0</v>
      </c>
      <c r="F36" s="24">
        <f t="shared" si="2"/>
        <v>0</v>
      </c>
      <c r="G36" s="28">
        <v>0</v>
      </c>
      <c r="H36" s="24">
        <f t="shared" si="3"/>
        <v>0</v>
      </c>
      <c r="I36" s="25">
        <f t="shared" si="1"/>
        <v>0</v>
      </c>
    </row>
    <row r="37" spans="1:9">
      <c r="A37" s="454" t="s">
        <v>218</v>
      </c>
      <c r="B37" s="27">
        <v>0</v>
      </c>
      <c r="C37" s="28">
        <v>0</v>
      </c>
      <c r="D37" s="23">
        <f t="shared" si="0"/>
        <v>0</v>
      </c>
      <c r="E37" s="28">
        <v>0</v>
      </c>
      <c r="F37" s="24">
        <f t="shared" si="2"/>
        <v>0</v>
      </c>
      <c r="G37" s="28">
        <v>0</v>
      </c>
      <c r="H37" s="24">
        <f t="shared" si="3"/>
        <v>0</v>
      </c>
      <c r="I37" s="25">
        <f t="shared" si="1"/>
        <v>0</v>
      </c>
    </row>
    <row r="38" spans="1:9">
      <c r="A38" s="454" t="s">
        <v>219</v>
      </c>
      <c r="B38" s="27">
        <v>0</v>
      </c>
      <c r="C38" s="28">
        <v>0</v>
      </c>
      <c r="D38" s="23">
        <f t="shared" si="0"/>
        <v>0</v>
      </c>
      <c r="E38" s="28">
        <v>0</v>
      </c>
      <c r="F38" s="24">
        <f t="shared" si="2"/>
        <v>0</v>
      </c>
      <c r="G38" s="28">
        <v>0</v>
      </c>
      <c r="H38" s="24">
        <f t="shared" si="3"/>
        <v>0</v>
      </c>
      <c r="I38" s="25">
        <f t="shared" si="1"/>
        <v>0</v>
      </c>
    </row>
    <row r="39" spans="1:9">
      <c r="A39" s="454" t="s">
        <v>19</v>
      </c>
      <c r="B39" s="27">
        <v>0</v>
      </c>
      <c r="C39" s="28">
        <v>0</v>
      </c>
      <c r="D39" s="23">
        <f t="shared" si="0"/>
        <v>0</v>
      </c>
      <c r="E39" s="28">
        <v>0</v>
      </c>
      <c r="F39" s="24">
        <f t="shared" si="2"/>
        <v>0</v>
      </c>
      <c r="G39" s="28">
        <v>0</v>
      </c>
      <c r="H39" s="24">
        <f t="shared" si="3"/>
        <v>0</v>
      </c>
      <c r="I39" s="25">
        <f t="shared" si="1"/>
        <v>0</v>
      </c>
    </row>
    <row r="40" spans="1:9">
      <c r="A40" s="30"/>
      <c r="B40" s="27"/>
      <c r="C40" s="27"/>
      <c r="D40" s="23"/>
      <c r="E40" s="27"/>
      <c r="F40" s="24"/>
      <c r="G40" s="28"/>
      <c r="H40" s="29"/>
      <c r="I40" s="25"/>
    </row>
    <row r="41" spans="1:9" ht="15" customHeight="1">
      <c r="A41" s="36" t="s">
        <v>20</v>
      </c>
      <c r="B41" s="33">
        <f>SUM(B42:B45)</f>
        <v>0</v>
      </c>
      <c r="C41" s="33">
        <f>SUM(C42:C45)</f>
        <v>0</v>
      </c>
      <c r="D41" s="23">
        <f t="shared" si="0"/>
        <v>0</v>
      </c>
      <c r="E41" s="33">
        <f>SUM(E42:E45)</f>
        <v>0</v>
      </c>
      <c r="F41" s="24">
        <f>E41/$E$66</f>
        <v>0</v>
      </c>
      <c r="G41" s="28">
        <f>SUM(G42:G45)</f>
        <v>0</v>
      </c>
      <c r="H41" s="24">
        <f>G41/$G$66</f>
        <v>0</v>
      </c>
      <c r="I41" s="25">
        <f t="shared" si="1"/>
        <v>0</v>
      </c>
    </row>
    <row r="42" spans="1:9">
      <c r="A42" s="26" t="s">
        <v>220</v>
      </c>
      <c r="B42" s="27">
        <v>0</v>
      </c>
      <c r="C42" s="28">
        <v>0</v>
      </c>
      <c r="D42" s="23">
        <f t="shared" si="0"/>
        <v>0</v>
      </c>
      <c r="E42" s="28">
        <v>0</v>
      </c>
      <c r="F42" s="24">
        <f>E42/$E$66</f>
        <v>0</v>
      </c>
      <c r="G42" s="28">
        <v>0</v>
      </c>
      <c r="H42" s="24">
        <f>G42/$G$66</f>
        <v>0</v>
      </c>
      <c r="I42" s="25">
        <f t="shared" si="1"/>
        <v>0</v>
      </c>
    </row>
    <row r="43" spans="1:9">
      <c r="A43" s="26" t="s">
        <v>221</v>
      </c>
      <c r="B43" s="27">
        <v>0</v>
      </c>
      <c r="C43" s="28">
        <v>0</v>
      </c>
      <c r="D43" s="23">
        <f t="shared" si="0"/>
        <v>0</v>
      </c>
      <c r="E43" s="28">
        <v>0</v>
      </c>
      <c r="F43" s="24">
        <f>E43/$E$66</f>
        <v>0</v>
      </c>
      <c r="G43" s="28">
        <v>0</v>
      </c>
      <c r="H43" s="24">
        <f>G43/$G$66</f>
        <v>0</v>
      </c>
      <c r="I43" s="25">
        <f t="shared" si="1"/>
        <v>0</v>
      </c>
    </row>
    <row r="44" spans="1:9">
      <c r="A44" s="26" t="s">
        <v>222</v>
      </c>
      <c r="B44" s="27">
        <v>0</v>
      </c>
      <c r="C44" s="28">
        <v>0</v>
      </c>
      <c r="D44" s="23">
        <f t="shared" si="0"/>
        <v>0</v>
      </c>
      <c r="E44" s="28">
        <v>0</v>
      </c>
      <c r="F44" s="24">
        <f>E44/$E$66</f>
        <v>0</v>
      </c>
      <c r="G44" s="28">
        <v>0</v>
      </c>
      <c r="H44" s="24">
        <f>G44/$G$66</f>
        <v>0</v>
      </c>
      <c r="I44" s="25">
        <f t="shared" si="1"/>
        <v>0</v>
      </c>
    </row>
    <row r="45" spans="1:9">
      <c r="A45" s="30" t="s">
        <v>21</v>
      </c>
      <c r="B45" s="27">
        <v>0</v>
      </c>
      <c r="C45" s="28">
        <v>0</v>
      </c>
      <c r="D45" s="23">
        <f t="shared" si="0"/>
        <v>0</v>
      </c>
      <c r="E45" s="28">
        <v>0</v>
      </c>
      <c r="F45" s="24">
        <f>E45/$E$66</f>
        <v>0</v>
      </c>
      <c r="G45" s="28">
        <v>0</v>
      </c>
      <c r="H45" s="24">
        <f>G45/$G$66</f>
        <v>0</v>
      </c>
      <c r="I45" s="25">
        <f t="shared" si="1"/>
        <v>0</v>
      </c>
    </row>
    <row r="46" spans="1:9">
      <c r="A46" s="30"/>
      <c r="B46" s="27"/>
      <c r="C46" s="27"/>
      <c r="D46" s="23"/>
      <c r="E46" s="28"/>
      <c r="F46" s="29"/>
      <c r="G46" s="27"/>
      <c r="H46" s="29"/>
      <c r="I46" s="25"/>
    </row>
    <row r="47" spans="1:9" ht="18.600000000000001" customHeight="1">
      <c r="A47" s="36" t="s">
        <v>22</v>
      </c>
      <c r="B47" s="33">
        <f>SUM(B48:B64)</f>
        <v>17636</v>
      </c>
      <c r="C47" s="33">
        <f>SUM(C48:C64)</f>
        <v>3010117</v>
      </c>
      <c r="D47" s="23">
        <f t="shared" si="0"/>
        <v>170.68025629394421</v>
      </c>
      <c r="E47" s="33">
        <f>SUM(E48:E64)</f>
        <v>62212</v>
      </c>
      <c r="F47" s="24">
        <f>E47/$E$66</f>
        <v>0.9959816211197029</v>
      </c>
      <c r="G47" s="33">
        <f>SUM(G48:G64)</f>
        <v>8428778</v>
      </c>
      <c r="H47" s="24">
        <f t="shared" ref="H47:H66" si="4">G47/$G$66</f>
        <v>0.93292286155088866</v>
      </c>
      <c r="I47" s="25">
        <f t="shared" si="1"/>
        <v>135.48476178229279</v>
      </c>
    </row>
    <row r="48" spans="1:9" ht="16.899999999999999" customHeight="1">
      <c r="A48" s="485" t="s">
        <v>163</v>
      </c>
      <c r="B48" s="27">
        <f>VLOOKUP(A48,[8]進出口值表查詢結果!$A$2:$C$14,3,0)</f>
        <v>106</v>
      </c>
      <c r="C48" s="28">
        <f>VLOOKUP(A48,[8]進出口值表查詢結果!$A$2:$C$14,2,0)</f>
        <v>109363</v>
      </c>
      <c r="D48" s="23">
        <f t="shared" si="0"/>
        <v>1031.7264150943397</v>
      </c>
      <c r="E48" s="28">
        <f>VLOOKUP(A48,[9]進出口值表查詢結果!$A$1:$C$17,3,0)</f>
        <v>317</v>
      </c>
      <c r="F48" s="24">
        <f>E48/$E$66</f>
        <v>5.0750044026063434E-3</v>
      </c>
      <c r="G48" s="28">
        <f>VLOOKUP(A48,[9]進出口值表查詢結果!$A$1:$C$17,2,0)</f>
        <v>376538</v>
      </c>
      <c r="H48" s="24">
        <f t="shared" si="4"/>
        <v>4.1676374492559717E-2</v>
      </c>
      <c r="I48" s="25">
        <f t="shared" si="1"/>
        <v>1187.8170347003154</v>
      </c>
    </row>
    <row r="49" spans="1:9">
      <c r="A49" s="26" t="s">
        <v>223</v>
      </c>
      <c r="B49" s="27">
        <f>VLOOKUP(A49,[8]進出口值表查詢結果!$A$2:$C$14,3,0)</f>
        <v>22</v>
      </c>
      <c r="C49" s="28">
        <f>VLOOKUP(A49,[8]進出口值表查詢結果!$A$2:$C$14,2,0)</f>
        <v>3352</v>
      </c>
      <c r="D49" s="23">
        <f t="shared" si="0"/>
        <v>152.36363636363637</v>
      </c>
      <c r="E49" s="28">
        <f>VLOOKUP(A49,[9]進出口值表查詢結果!$A$1:$C$17,3,0)</f>
        <v>61</v>
      </c>
      <c r="F49" s="24">
        <f t="shared" ref="F49:F66" si="5">E49/$E$66</f>
        <v>9.7657813425547921E-4</v>
      </c>
      <c r="G49" s="28">
        <f>VLOOKUP(A49,[9]進出口值表查詢結果!$A$1:$C$17,2,0)</f>
        <v>12731</v>
      </c>
      <c r="H49" s="24">
        <f t="shared" si="4"/>
        <v>1.4091059167063557E-3</v>
      </c>
      <c r="I49" s="25">
        <f t="shared" si="1"/>
        <v>208.70491803278688</v>
      </c>
    </row>
    <row r="50" spans="1:9">
      <c r="A50" s="466" t="s">
        <v>224</v>
      </c>
      <c r="B50" s="27">
        <v>0</v>
      </c>
      <c r="C50" s="28">
        <v>0</v>
      </c>
      <c r="D50" s="23">
        <f t="shared" si="0"/>
        <v>0</v>
      </c>
      <c r="E50" s="28">
        <v>0</v>
      </c>
      <c r="F50" s="24">
        <f t="shared" si="5"/>
        <v>0</v>
      </c>
      <c r="G50" s="28">
        <v>0</v>
      </c>
      <c r="H50" s="24">
        <f t="shared" si="4"/>
        <v>0</v>
      </c>
      <c r="I50" s="25">
        <f t="shared" si="1"/>
        <v>0</v>
      </c>
    </row>
    <row r="51" spans="1:9">
      <c r="A51" s="26" t="s">
        <v>225</v>
      </c>
      <c r="B51" s="27">
        <v>0</v>
      </c>
      <c r="C51" s="28">
        <v>0</v>
      </c>
      <c r="D51" s="23">
        <f t="shared" si="0"/>
        <v>0</v>
      </c>
      <c r="E51" s="28">
        <v>0</v>
      </c>
      <c r="F51" s="24">
        <f t="shared" si="5"/>
        <v>0</v>
      </c>
      <c r="G51" s="28">
        <v>0</v>
      </c>
      <c r="H51" s="24">
        <f t="shared" si="4"/>
        <v>0</v>
      </c>
      <c r="I51" s="25">
        <f t="shared" si="1"/>
        <v>0</v>
      </c>
    </row>
    <row r="52" spans="1:9">
      <c r="A52" s="30" t="s">
        <v>23</v>
      </c>
      <c r="B52" s="27">
        <v>0</v>
      </c>
      <c r="C52" s="28">
        <v>0</v>
      </c>
      <c r="D52" s="23">
        <f t="shared" si="0"/>
        <v>0</v>
      </c>
      <c r="E52" s="28">
        <v>0</v>
      </c>
      <c r="F52" s="24">
        <f t="shared" si="5"/>
        <v>0</v>
      </c>
      <c r="G52" s="28">
        <v>0</v>
      </c>
      <c r="H52" s="24">
        <f t="shared" si="4"/>
        <v>0</v>
      </c>
      <c r="I52" s="25">
        <f t="shared" si="1"/>
        <v>0</v>
      </c>
    </row>
    <row r="53" spans="1:9">
      <c r="A53" s="26" t="s">
        <v>226</v>
      </c>
      <c r="B53" s="27">
        <v>0</v>
      </c>
      <c r="C53" s="28">
        <v>0</v>
      </c>
      <c r="D53" s="23">
        <f t="shared" si="0"/>
        <v>0</v>
      </c>
      <c r="E53" s="28">
        <v>0</v>
      </c>
      <c r="F53" s="24">
        <f t="shared" si="5"/>
        <v>0</v>
      </c>
      <c r="G53" s="28">
        <v>0</v>
      </c>
      <c r="H53" s="24">
        <f t="shared" si="4"/>
        <v>0</v>
      </c>
      <c r="I53" s="25">
        <f t="shared" si="1"/>
        <v>0</v>
      </c>
    </row>
    <row r="54" spans="1:9">
      <c r="A54" s="30" t="s">
        <v>111</v>
      </c>
      <c r="B54" s="27">
        <v>0</v>
      </c>
      <c r="C54" s="28">
        <v>0</v>
      </c>
      <c r="D54" s="23">
        <f t="shared" si="0"/>
        <v>0</v>
      </c>
      <c r="E54" s="28">
        <f>VLOOKUP(A54,[9]進出口值表查詢結果!$A$1:$C$17,3,0)</f>
        <v>1</v>
      </c>
      <c r="F54" s="24">
        <f t="shared" si="5"/>
        <v>1.6009477610745561E-5</v>
      </c>
      <c r="G54" s="28">
        <f>VLOOKUP(A54,[9]進出口值表查詢結果!$A$1:$C$17,2,0)</f>
        <v>3105</v>
      </c>
      <c r="H54" s="24">
        <f t="shared" si="4"/>
        <v>3.4367087199538407E-4</v>
      </c>
      <c r="I54" s="25">
        <f t="shared" si="1"/>
        <v>3105</v>
      </c>
    </row>
    <row r="55" spans="1:9">
      <c r="A55" s="30" t="s">
        <v>24</v>
      </c>
      <c r="B55" s="27">
        <v>0</v>
      </c>
      <c r="C55" s="28">
        <v>0</v>
      </c>
      <c r="D55" s="23">
        <f t="shared" si="0"/>
        <v>0</v>
      </c>
      <c r="E55" s="28">
        <v>0</v>
      </c>
      <c r="F55" s="24">
        <f t="shared" si="5"/>
        <v>0</v>
      </c>
      <c r="G55" s="28">
        <v>0</v>
      </c>
      <c r="H55" s="24">
        <f t="shared" si="4"/>
        <v>0</v>
      </c>
      <c r="I55" s="25">
        <f t="shared" si="1"/>
        <v>0</v>
      </c>
    </row>
    <row r="56" spans="1:9">
      <c r="A56" s="294" t="s">
        <v>230</v>
      </c>
      <c r="B56" s="27">
        <v>0</v>
      </c>
      <c r="C56" s="28">
        <v>0</v>
      </c>
      <c r="D56" s="23">
        <f t="shared" si="0"/>
        <v>0</v>
      </c>
      <c r="E56" s="28">
        <f>VLOOKUP(A56,[9]進出口值表查詢結果!$A$1:$C$17,3,0)</f>
        <v>303</v>
      </c>
      <c r="F56" s="24">
        <f t="shared" si="5"/>
        <v>4.8508717160559052E-3</v>
      </c>
      <c r="G56" s="28">
        <f>VLOOKUP(A56,[9]進出口值表查詢結果!$A$1:$C$17,2,0)</f>
        <v>38530</v>
      </c>
      <c r="H56" s="24">
        <f t="shared" si="4"/>
        <v>4.2646179381585015E-3</v>
      </c>
      <c r="I56" s="25">
        <f t="shared" si="1"/>
        <v>127.16171617161716</v>
      </c>
    </row>
    <row r="57" spans="1:9">
      <c r="A57" s="37" t="s">
        <v>456</v>
      </c>
      <c r="B57" s="27">
        <f>VLOOKUP(A57,[8]進出口值表查詢結果!$A$2:$C$14,3,0)</f>
        <v>30</v>
      </c>
      <c r="C57" s="28">
        <f>VLOOKUP(A57,[8]進出口值表查詢結果!$A$2:$C$14,2,0)</f>
        <v>39685</v>
      </c>
      <c r="D57" s="23">
        <f t="shared" si="0"/>
        <v>1322.8333333333333</v>
      </c>
      <c r="E57" s="28">
        <f>VLOOKUP(A57,[9]進出口值表查詢結果!$A$1:$C$17,3,0)</f>
        <v>117</v>
      </c>
      <c r="F57" s="24">
        <f t="shared" si="5"/>
        <v>1.8731088804572306E-3</v>
      </c>
      <c r="G57" s="28">
        <f>VLOOKUP(A57,[9]進出口值表查詢結果!$A$1:$C$17,2,0)</f>
        <v>54195</v>
      </c>
      <c r="H57" s="24">
        <f t="shared" si="4"/>
        <v>5.9984679252141192E-3</v>
      </c>
      <c r="I57" s="25">
        <f t="shared" si="1"/>
        <v>463.20512820512823</v>
      </c>
    </row>
    <row r="58" spans="1:9">
      <c r="A58" s="37" t="s">
        <v>389</v>
      </c>
      <c r="B58" s="27">
        <f>VLOOKUP(A58,[8]進出口值表查詢結果!$A$2:$C$14,3,0)</f>
        <v>245</v>
      </c>
      <c r="C58" s="28">
        <f>VLOOKUP(A58,[8]進出口值表查詢結果!$A$2:$C$14,2,0)</f>
        <v>217608</v>
      </c>
      <c r="D58" s="23">
        <f t="shared" si="0"/>
        <v>888.19591836734696</v>
      </c>
      <c r="E58" s="28">
        <f>VLOOKUP(A58,[9]進出口值表查詢結果!$A$1:$C$17,3,0)</f>
        <v>1065</v>
      </c>
      <c r="F58" s="24">
        <f t="shared" si="5"/>
        <v>1.7050093655444024E-2</v>
      </c>
      <c r="G58" s="28">
        <f>VLOOKUP(A58,[9]進出口值表查詢結果!$A$1:$C$17,2,0)</f>
        <v>950889</v>
      </c>
      <c r="H58" s="24">
        <f t="shared" si="4"/>
        <v>0.10524729526596417</v>
      </c>
      <c r="I58" s="25">
        <f t="shared" si="1"/>
        <v>892.8535211267606</v>
      </c>
    </row>
    <row r="59" spans="1:9">
      <c r="A59" s="37" t="s">
        <v>112</v>
      </c>
      <c r="B59" s="27">
        <f>VLOOKUP(A59,[8]進出口值表查詢結果!$A$2:$C$14,3,0)</f>
        <v>854</v>
      </c>
      <c r="C59" s="28">
        <f>VLOOKUP(A59,[8]進出口值表查詢結果!$A$2:$C$14,2,0)</f>
        <v>1052826</v>
      </c>
      <c r="D59" s="23">
        <f t="shared" si="0"/>
        <v>1232.8173302107728</v>
      </c>
      <c r="E59" s="28">
        <f>VLOOKUP(A59,[9]進出口值表查詢結果!$A$1:$C$17,3,0)</f>
        <v>1428</v>
      </c>
      <c r="F59" s="24">
        <f t="shared" si="5"/>
        <v>2.2861534028144663E-2</v>
      </c>
      <c r="G59" s="28">
        <f>VLOOKUP(A59,[9]進出口值表查詢結果!$A$1:$C$17,2,0)</f>
        <v>1219513</v>
      </c>
      <c r="H59" s="24">
        <f t="shared" si="4"/>
        <v>0.13497941904016322</v>
      </c>
      <c r="I59" s="25">
        <f t="shared" si="1"/>
        <v>854.00070028011203</v>
      </c>
    </row>
    <row r="60" spans="1:9">
      <c r="A60" s="37" t="s">
        <v>113</v>
      </c>
      <c r="B60" s="27">
        <v>0</v>
      </c>
      <c r="C60" s="28">
        <v>0</v>
      </c>
      <c r="D60" s="23">
        <f t="shared" si="0"/>
        <v>0</v>
      </c>
      <c r="E60" s="28">
        <v>0</v>
      </c>
      <c r="F60" s="24">
        <f t="shared" si="5"/>
        <v>0</v>
      </c>
      <c r="G60" s="28">
        <v>0</v>
      </c>
      <c r="H60" s="24">
        <f t="shared" si="4"/>
        <v>0</v>
      </c>
      <c r="I60" s="25">
        <f t="shared" si="1"/>
        <v>0</v>
      </c>
    </row>
    <row r="61" spans="1:9">
      <c r="A61" s="37" t="s">
        <v>114</v>
      </c>
      <c r="B61" s="27">
        <f>VLOOKUP(A61,[8]進出口值表查詢結果!$A$2:$C$14,3,0)</f>
        <v>16379</v>
      </c>
      <c r="C61" s="28">
        <f>VLOOKUP(A61,[8]進出口值表查詢結果!$A$2:$C$14,2,0)</f>
        <v>1587283</v>
      </c>
      <c r="D61" s="23">
        <f t="shared" si="0"/>
        <v>96.909640393186393</v>
      </c>
      <c r="E61" s="28">
        <f>VLOOKUP(A61,[9]進出口值表查詢結果!$A$1:$C$17,3,0)</f>
        <v>58920</v>
      </c>
      <c r="F61" s="24">
        <f t="shared" si="5"/>
        <v>0.94327842082512847</v>
      </c>
      <c r="G61" s="28">
        <f>VLOOKUP(A61,[9]進出口值表查詢結果!$A$1:$C$17,2,0)</f>
        <v>5773277</v>
      </c>
      <c r="H61" s="24">
        <f t="shared" si="4"/>
        <v>0.63900391010012725</v>
      </c>
      <c r="I61" s="25">
        <f t="shared" si="1"/>
        <v>97.985013577732516</v>
      </c>
    </row>
    <row r="62" spans="1:9">
      <c r="A62" s="37" t="s">
        <v>390</v>
      </c>
      <c r="B62" s="27">
        <v>0</v>
      </c>
      <c r="C62" s="28">
        <v>0</v>
      </c>
      <c r="D62" s="23">
        <f t="shared" si="0"/>
        <v>0</v>
      </c>
      <c r="E62" s="28">
        <v>0</v>
      </c>
      <c r="F62" s="24">
        <f t="shared" si="5"/>
        <v>0</v>
      </c>
      <c r="G62" s="28">
        <v>0</v>
      </c>
      <c r="H62" s="24">
        <f t="shared" si="4"/>
        <v>0</v>
      </c>
      <c r="I62" s="25">
        <f t="shared" si="1"/>
        <v>0</v>
      </c>
    </row>
    <row r="63" spans="1:9">
      <c r="A63" s="37" t="s">
        <v>391</v>
      </c>
      <c r="B63" s="27">
        <v>0</v>
      </c>
      <c r="C63" s="28">
        <v>0</v>
      </c>
      <c r="D63" s="23">
        <f t="shared" si="0"/>
        <v>0</v>
      </c>
      <c r="E63" s="28">
        <v>0</v>
      </c>
      <c r="F63" s="24">
        <f t="shared" si="5"/>
        <v>0</v>
      </c>
      <c r="G63" s="28">
        <v>0</v>
      </c>
      <c r="H63" s="24">
        <f t="shared" si="4"/>
        <v>0</v>
      </c>
      <c r="I63" s="25">
        <f t="shared" si="1"/>
        <v>0</v>
      </c>
    </row>
    <row r="64" spans="1:9">
      <c r="A64" s="37" t="s">
        <v>392</v>
      </c>
      <c r="B64" s="27">
        <v>0</v>
      </c>
      <c r="C64" s="28">
        <v>0</v>
      </c>
      <c r="D64" s="23">
        <f t="shared" si="0"/>
        <v>0</v>
      </c>
      <c r="E64" s="560">
        <v>0</v>
      </c>
      <c r="F64" s="561">
        <f t="shared" si="5"/>
        <v>0</v>
      </c>
      <c r="G64" s="560">
        <v>0</v>
      </c>
      <c r="H64" s="561">
        <f t="shared" si="4"/>
        <v>0</v>
      </c>
      <c r="I64" s="562">
        <f t="shared" si="1"/>
        <v>0</v>
      </c>
    </row>
    <row r="65" spans="1:9">
      <c r="A65" s="30" t="s">
        <v>30</v>
      </c>
      <c r="B65" s="27">
        <f>B66-B47-B41-B12-B7</f>
        <v>6</v>
      </c>
      <c r="C65" s="27">
        <f>C66-C47-C41-C12-C7</f>
        <v>8081</v>
      </c>
      <c r="D65" s="543">
        <f t="shared" si="0"/>
        <v>1346.8333333333333</v>
      </c>
      <c r="E65" s="563">
        <f>E66-E47-E41-E12-E7</f>
        <v>65</v>
      </c>
      <c r="F65" s="564">
        <f t="shared" si="5"/>
        <v>1.0406160446984616E-3</v>
      </c>
      <c r="G65" s="563">
        <f>G66-G47-G41-G12-G7</f>
        <v>135252</v>
      </c>
      <c r="H65" s="564">
        <f t="shared" si="4"/>
        <v>1.4970103954627919E-2</v>
      </c>
      <c r="I65" s="565">
        <f t="shared" si="1"/>
        <v>2080.8000000000002</v>
      </c>
    </row>
    <row r="66" spans="1:9">
      <c r="A66" s="32" t="s">
        <v>401</v>
      </c>
      <c r="B66" s="27">
        <f>VLOOKUP(A66,[8]進出口值表查詢結果!$A$2:$C$14,3,0)</f>
        <v>17657</v>
      </c>
      <c r="C66" s="28">
        <f>VLOOKUP(A66,[8]進出口值表查詢結果!$A$2:$C$14,2,0)</f>
        <v>3081603</v>
      </c>
      <c r="D66" s="52">
        <f t="shared" ref="D66" si="6">C66/B66</f>
        <v>174.52585376904344</v>
      </c>
      <c r="E66" s="560">
        <f>VLOOKUP(A66,[9]進出口值表查詢結果!$A$1:$C$17,3,0)</f>
        <v>62463</v>
      </c>
      <c r="F66" s="564">
        <f t="shared" si="5"/>
        <v>1</v>
      </c>
      <c r="G66" s="560">
        <f>VLOOKUP(A66,[9]進出口值表查詢結果!$A$1:$C$17,2,0)</f>
        <v>9034807</v>
      </c>
      <c r="H66" s="564">
        <f t="shared" si="4"/>
        <v>1</v>
      </c>
      <c r="I66" s="565">
        <f t="shared" si="1"/>
        <v>144.64254038390726</v>
      </c>
    </row>
    <row r="67" spans="1:9">
      <c r="A67" s="38"/>
      <c r="B67" s="39"/>
      <c r="C67" s="39"/>
      <c r="D67" s="40"/>
      <c r="E67" s="39"/>
      <c r="F67" s="41"/>
      <c r="G67" s="39"/>
      <c r="H67" s="41"/>
      <c r="I67" s="40"/>
    </row>
    <row r="68" spans="1:9" ht="16.5" customHeight="1">
      <c r="A68" s="101" t="s">
        <v>153</v>
      </c>
      <c r="B68" s="102"/>
      <c r="C68" s="102"/>
      <c r="D68" s="174"/>
      <c r="E68" s="102"/>
      <c r="F68" s="175"/>
      <c r="G68" s="102"/>
      <c r="H68" s="176"/>
      <c r="I68" s="177"/>
    </row>
    <row r="69" spans="1:9">
      <c r="A69" s="8" t="s">
        <v>476</v>
      </c>
      <c r="B69" s="8" t="s">
        <v>477</v>
      </c>
      <c r="C69" s="8" t="s">
        <v>481</v>
      </c>
      <c r="D69" s="9" t="s">
        <v>1</v>
      </c>
      <c r="E69" s="10" t="s">
        <v>479</v>
      </c>
      <c r="F69" s="11" t="s">
        <v>2</v>
      </c>
      <c r="G69" s="73" t="s">
        <v>480</v>
      </c>
      <c r="H69" s="45" t="s">
        <v>2</v>
      </c>
      <c r="I69" s="509" t="s">
        <v>115</v>
      </c>
    </row>
    <row r="70" spans="1:9">
      <c r="A70" s="46"/>
      <c r="B70" s="47" t="s">
        <v>3</v>
      </c>
      <c r="C70" s="48" t="s">
        <v>4</v>
      </c>
      <c r="D70" s="43" t="s">
        <v>4</v>
      </c>
      <c r="E70" s="47" t="s">
        <v>3</v>
      </c>
      <c r="F70" s="44"/>
      <c r="G70" s="50" t="s">
        <v>4</v>
      </c>
      <c r="H70" s="51"/>
      <c r="I70" s="43" t="s">
        <v>4</v>
      </c>
    </row>
    <row r="71" spans="1:9">
      <c r="A71" s="32" t="s">
        <v>31</v>
      </c>
      <c r="B71" s="27">
        <v>14</v>
      </c>
      <c r="C71" s="27">
        <v>17445</v>
      </c>
      <c r="D71" s="519">
        <f>C71/B71</f>
        <v>1246.0714285714287</v>
      </c>
      <c r="E71" s="28">
        <v>655</v>
      </c>
      <c r="F71" s="520">
        <v>1</v>
      </c>
      <c r="G71" s="27">
        <v>147340</v>
      </c>
      <c r="H71" s="53">
        <v>1</v>
      </c>
      <c r="I71" s="52">
        <f t="shared" ref="I71" si="7">IF(E71,G71/E71,0)</f>
        <v>224.94656488549617</v>
      </c>
    </row>
    <row r="72" spans="1:9" ht="11.25" customHeight="1">
      <c r="A72" s="38"/>
      <c r="B72" s="39"/>
      <c r="C72" s="39"/>
      <c r="D72" s="40"/>
      <c r="E72" s="39"/>
      <c r="F72" s="41"/>
      <c r="G72" s="39"/>
      <c r="H72" s="41"/>
      <c r="I72" s="40"/>
    </row>
    <row r="73" spans="1:9" ht="18" customHeight="1">
      <c r="A73" s="55" t="s">
        <v>57</v>
      </c>
      <c r="B73" s="13"/>
      <c r="C73" s="169"/>
      <c r="D73" s="178"/>
      <c r="E73" s="13"/>
      <c r="F73" s="169"/>
      <c r="G73" s="170"/>
      <c r="H73" s="13"/>
      <c r="I73" s="179"/>
    </row>
    <row r="74" spans="1:9" s="13" customFormat="1">
      <c r="A74" s="5"/>
      <c r="B74" s="5"/>
      <c r="C74" s="5"/>
      <c r="D74" s="6"/>
      <c r="E74" s="5"/>
      <c r="F74" s="5"/>
      <c r="G74" s="5"/>
      <c r="H74" s="5"/>
      <c r="I74" s="6"/>
    </row>
  </sheetData>
  <mergeCells count="1">
    <mergeCell ref="A1:I1"/>
  </mergeCells>
  <phoneticPr fontId="3" type="noConversion"/>
  <pageMargins left="0.51181102362204722" right="0.31496062992125984" top="0.35433070866141736" bottom="0.15748031496062992" header="0.31496062992125984" footer="0.31496062992125984"/>
  <pageSetup paperSize="9"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72"/>
  <sheetViews>
    <sheetView workbookViewId="0">
      <selection activeCell="B68" sqref="B68"/>
    </sheetView>
  </sheetViews>
  <sheetFormatPr defaultRowHeight="16.5"/>
  <cols>
    <col min="1" max="1" width="17.25" style="5" customWidth="1"/>
    <col min="2" max="2" width="10.5" style="96" bestFit="1" customWidth="1"/>
    <col min="3" max="3" width="14.375" style="5" customWidth="1"/>
    <col min="4" max="4" width="10.5" style="96" bestFit="1" customWidth="1"/>
    <col min="5" max="5" width="11.875" style="5" customWidth="1"/>
    <col min="6" max="6" width="8.875" style="96" customWidth="1"/>
    <col min="7" max="7" width="12.625" style="96" customWidth="1"/>
    <col min="8" max="8" width="9.125" style="5" customWidth="1"/>
    <col min="9" max="9" width="9.5" style="96" customWidth="1"/>
    <col min="10" max="256" width="8.875" style="5"/>
    <col min="257" max="257" width="16" style="5" customWidth="1"/>
    <col min="258" max="258" width="10" style="5" customWidth="1"/>
    <col min="259" max="259" width="14.375" style="5" customWidth="1"/>
    <col min="260" max="260" width="9.5" style="5" customWidth="1"/>
    <col min="261" max="261" width="11.625" style="5" customWidth="1"/>
    <col min="262" max="262" width="10" style="5" customWidth="1"/>
    <col min="263" max="263" width="12.625" style="5" customWidth="1"/>
    <col min="264" max="264" width="9.125" style="5" customWidth="1"/>
    <col min="265" max="265" width="9.5" style="5" customWidth="1"/>
    <col min="266" max="512" width="8.875" style="5"/>
    <col min="513" max="513" width="16" style="5" customWidth="1"/>
    <col min="514" max="514" width="10" style="5" customWidth="1"/>
    <col min="515" max="515" width="14.375" style="5" customWidth="1"/>
    <col min="516" max="516" width="9.5" style="5" customWidth="1"/>
    <col min="517" max="517" width="11.625" style="5" customWidth="1"/>
    <col min="518" max="518" width="10" style="5" customWidth="1"/>
    <col min="519" max="519" width="12.625" style="5" customWidth="1"/>
    <col min="520" max="520" width="9.125" style="5" customWidth="1"/>
    <col min="521" max="521" width="9.5" style="5" customWidth="1"/>
    <col min="522" max="768" width="8.875" style="5"/>
    <col min="769" max="769" width="16" style="5" customWidth="1"/>
    <col min="770" max="770" width="10" style="5" customWidth="1"/>
    <col min="771" max="771" width="14.375" style="5" customWidth="1"/>
    <col min="772" max="772" width="9.5" style="5" customWidth="1"/>
    <col min="773" max="773" width="11.625" style="5" customWidth="1"/>
    <col min="774" max="774" width="10" style="5" customWidth="1"/>
    <col min="775" max="775" width="12.625" style="5" customWidth="1"/>
    <col min="776" max="776" width="9.125" style="5" customWidth="1"/>
    <col min="777" max="777" width="9.5" style="5" customWidth="1"/>
    <col min="778" max="1024" width="8.875" style="5"/>
    <col min="1025" max="1025" width="16" style="5" customWidth="1"/>
    <col min="1026" max="1026" width="10" style="5" customWidth="1"/>
    <col min="1027" max="1027" width="14.375" style="5" customWidth="1"/>
    <col min="1028" max="1028" width="9.5" style="5" customWidth="1"/>
    <col min="1029" max="1029" width="11.625" style="5" customWidth="1"/>
    <col min="1030" max="1030" width="10" style="5" customWidth="1"/>
    <col min="1031" max="1031" width="12.625" style="5" customWidth="1"/>
    <col min="1032" max="1032" width="9.125" style="5" customWidth="1"/>
    <col min="1033" max="1033" width="9.5" style="5" customWidth="1"/>
    <col min="1034" max="1280" width="8.875" style="5"/>
    <col min="1281" max="1281" width="16" style="5" customWidth="1"/>
    <col min="1282" max="1282" width="10" style="5" customWidth="1"/>
    <col min="1283" max="1283" width="14.375" style="5" customWidth="1"/>
    <col min="1284" max="1284" width="9.5" style="5" customWidth="1"/>
    <col min="1285" max="1285" width="11.625" style="5" customWidth="1"/>
    <col min="1286" max="1286" width="10" style="5" customWidth="1"/>
    <col min="1287" max="1287" width="12.625" style="5" customWidth="1"/>
    <col min="1288" max="1288" width="9.125" style="5" customWidth="1"/>
    <col min="1289" max="1289" width="9.5" style="5" customWidth="1"/>
    <col min="1290" max="1536" width="8.875" style="5"/>
    <col min="1537" max="1537" width="16" style="5" customWidth="1"/>
    <col min="1538" max="1538" width="10" style="5" customWidth="1"/>
    <col min="1539" max="1539" width="14.375" style="5" customWidth="1"/>
    <col min="1540" max="1540" width="9.5" style="5" customWidth="1"/>
    <col min="1541" max="1541" width="11.625" style="5" customWidth="1"/>
    <col min="1542" max="1542" width="10" style="5" customWidth="1"/>
    <col min="1543" max="1543" width="12.625" style="5" customWidth="1"/>
    <col min="1544" max="1544" width="9.125" style="5" customWidth="1"/>
    <col min="1545" max="1545" width="9.5" style="5" customWidth="1"/>
    <col min="1546" max="1792" width="8.875" style="5"/>
    <col min="1793" max="1793" width="16" style="5" customWidth="1"/>
    <col min="1794" max="1794" width="10" style="5" customWidth="1"/>
    <col min="1795" max="1795" width="14.375" style="5" customWidth="1"/>
    <col min="1796" max="1796" width="9.5" style="5" customWidth="1"/>
    <col min="1797" max="1797" width="11.625" style="5" customWidth="1"/>
    <col min="1798" max="1798" width="10" style="5" customWidth="1"/>
    <col min="1799" max="1799" width="12.625" style="5" customWidth="1"/>
    <col min="1800" max="1800" width="9.125" style="5" customWidth="1"/>
    <col min="1801" max="1801" width="9.5" style="5" customWidth="1"/>
    <col min="1802" max="2048" width="8.875" style="5"/>
    <col min="2049" max="2049" width="16" style="5" customWidth="1"/>
    <col min="2050" max="2050" width="10" style="5" customWidth="1"/>
    <col min="2051" max="2051" width="14.375" style="5" customWidth="1"/>
    <col min="2052" max="2052" width="9.5" style="5" customWidth="1"/>
    <col min="2053" max="2053" width="11.625" style="5" customWidth="1"/>
    <col min="2054" max="2054" width="10" style="5" customWidth="1"/>
    <col min="2055" max="2055" width="12.625" style="5" customWidth="1"/>
    <col min="2056" max="2056" width="9.125" style="5" customWidth="1"/>
    <col min="2057" max="2057" width="9.5" style="5" customWidth="1"/>
    <col min="2058" max="2304" width="8.875" style="5"/>
    <col min="2305" max="2305" width="16" style="5" customWidth="1"/>
    <col min="2306" max="2306" width="10" style="5" customWidth="1"/>
    <col min="2307" max="2307" width="14.375" style="5" customWidth="1"/>
    <col min="2308" max="2308" width="9.5" style="5" customWidth="1"/>
    <col min="2309" max="2309" width="11.625" style="5" customWidth="1"/>
    <col min="2310" max="2310" width="10" style="5" customWidth="1"/>
    <col min="2311" max="2311" width="12.625" style="5" customWidth="1"/>
    <col min="2312" max="2312" width="9.125" style="5" customWidth="1"/>
    <col min="2313" max="2313" width="9.5" style="5" customWidth="1"/>
    <col min="2314" max="2560" width="8.875" style="5"/>
    <col min="2561" max="2561" width="16" style="5" customWidth="1"/>
    <col min="2562" max="2562" width="10" style="5" customWidth="1"/>
    <col min="2563" max="2563" width="14.375" style="5" customWidth="1"/>
    <col min="2564" max="2564" width="9.5" style="5" customWidth="1"/>
    <col min="2565" max="2565" width="11.625" style="5" customWidth="1"/>
    <col min="2566" max="2566" width="10" style="5" customWidth="1"/>
    <col min="2567" max="2567" width="12.625" style="5" customWidth="1"/>
    <col min="2568" max="2568" width="9.125" style="5" customWidth="1"/>
    <col min="2569" max="2569" width="9.5" style="5" customWidth="1"/>
    <col min="2570" max="2816" width="8.875" style="5"/>
    <col min="2817" max="2817" width="16" style="5" customWidth="1"/>
    <col min="2818" max="2818" width="10" style="5" customWidth="1"/>
    <col min="2819" max="2819" width="14.375" style="5" customWidth="1"/>
    <col min="2820" max="2820" width="9.5" style="5" customWidth="1"/>
    <col min="2821" max="2821" width="11.625" style="5" customWidth="1"/>
    <col min="2822" max="2822" width="10" style="5" customWidth="1"/>
    <col min="2823" max="2823" width="12.625" style="5" customWidth="1"/>
    <col min="2824" max="2824" width="9.125" style="5" customWidth="1"/>
    <col min="2825" max="2825" width="9.5" style="5" customWidth="1"/>
    <col min="2826" max="3072" width="8.875" style="5"/>
    <col min="3073" max="3073" width="16" style="5" customWidth="1"/>
    <col min="3074" max="3074" width="10" style="5" customWidth="1"/>
    <col min="3075" max="3075" width="14.375" style="5" customWidth="1"/>
    <col min="3076" max="3076" width="9.5" style="5" customWidth="1"/>
    <col min="3077" max="3077" width="11.625" style="5" customWidth="1"/>
    <col min="3078" max="3078" width="10" style="5" customWidth="1"/>
    <col min="3079" max="3079" width="12.625" style="5" customWidth="1"/>
    <col min="3080" max="3080" width="9.125" style="5" customWidth="1"/>
    <col min="3081" max="3081" width="9.5" style="5" customWidth="1"/>
    <col min="3082" max="3328" width="8.875" style="5"/>
    <col min="3329" max="3329" width="16" style="5" customWidth="1"/>
    <col min="3330" max="3330" width="10" style="5" customWidth="1"/>
    <col min="3331" max="3331" width="14.375" style="5" customWidth="1"/>
    <col min="3332" max="3332" width="9.5" style="5" customWidth="1"/>
    <col min="3333" max="3333" width="11.625" style="5" customWidth="1"/>
    <col min="3334" max="3334" width="10" style="5" customWidth="1"/>
    <col min="3335" max="3335" width="12.625" style="5" customWidth="1"/>
    <col min="3336" max="3336" width="9.125" style="5" customWidth="1"/>
    <col min="3337" max="3337" width="9.5" style="5" customWidth="1"/>
    <col min="3338" max="3584" width="8.875" style="5"/>
    <col min="3585" max="3585" width="16" style="5" customWidth="1"/>
    <col min="3586" max="3586" width="10" style="5" customWidth="1"/>
    <col min="3587" max="3587" width="14.375" style="5" customWidth="1"/>
    <col min="3588" max="3588" width="9.5" style="5" customWidth="1"/>
    <col min="3589" max="3589" width="11.625" style="5" customWidth="1"/>
    <col min="3590" max="3590" width="10" style="5" customWidth="1"/>
    <col min="3591" max="3591" width="12.625" style="5" customWidth="1"/>
    <col min="3592" max="3592" width="9.125" style="5" customWidth="1"/>
    <col min="3593" max="3593" width="9.5" style="5" customWidth="1"/>
    <col min="3594" max="3840" width="8.875" style="5"/>
    <col min="3841" max="3841" width="16" style="5" customWidth="1"/>
    <col min="3842" max="3842" width="10" style="5" customWidth="1"/>
    <col min="3843" max="3843" width="14.375" style="5" customWidth="1"/>
    <col min="3844" max="3844" width="9.5" style="5" customWidth="1"/>
    <col min="3845" max="3845" width="11.625" style="5" customWidth="1"/>
    <col min="3846" max="3846" width="10" style="5" customWidth="1"/>
    <col min="3847" max="3847" width="12.625" style="5" customWidth="1"/>
    <col min="3848" max="3848" width="9.125" style="5" customWidth="1"/>
    <col min="3849" max="3849" width="9.5" style="5" customWidth="1"/>
    <col min="3850" max="4096" width="8.875" style="5"/>
    <col min="4097" max="4097" width="16" style="5" customWidth="1"/>
    <col min="4098" max="4098" width="10" style="5" customWidth="1"/>
    <col min="4099" max="4099" width="14.375" style="5" customWidth="1"/>
    <col min="4100" max="4100" width="9.5" style="5" customWidth="1"/>
    <col min="4101" max="4101" width="11.625" style="5" customWidth="1"/>
    <col min="4102" max="4102" width="10" style="5" customWidth="1"/>
    <col min="4103" max="4103" width="12.625" style="5" customWidth="1"/>
    <col min="4104" max="4104" width="9.125" style="5" customWidth="1"/>
    <col min="4105" max="4105" width="9.5" style="5" customWidth="1"/>
    <col min="4106" max="4352" width="8.875" style="5"/>
    <col min="4353" max="4353" width="16" style="5" customWidth="1"/>
    <col min="4354" max="4354" width="10" style="5" customWidth="1"/>
    <col min="4355" max="4355" width="14.375" style="5" customWidth="1"/>
    <col min="4356" max="4356" width="9.5" style="5" customWidth="1"/>
    <col min="4357" max="4357" width="11.625" style="5" customWidth="1"/>
    <col min="4358" max="4358" width="10" style="5" customWidth="1"/>
    <col min="4359" max="4359" width="12.625" style="5" customWidth="1"/>
    <col min="4360" max="4360" width="9.125" style="5" customWidth="1"/>
    <col min="4361" max="4361" width="9.5" style="5" customWidth="1"/>
    <col min="4362" max="4608" width="8.875" style="5"/>
    <col min="4609" max="4609" width="16" style="5" customWidth="1"/>
    <col min="4610" max="4610" width="10" style="5" customWidth="1"/>
    <col min="4611" max="4611" width="14.375" style="5" customWidth="1"/>
    <col min="4612" max="4612" width="9.5" style="5" customWidth="1"/>
    <col min="4613" max="4613" width="11.625" style="5" customWidth="1"/>
    <col min="4614" max="4614" width="10" style="5" customWidth="1"/>
    <col min="4615" max="4615" width="12.625" style="5" customWidth="1"/>
    <col min="4616" max="4616" width="9.125" style="5" customWidth="1"/>
    <col min="4617" max="4617" width="9.5" style="5" customWidth="1"/>
    <col min="4618" max="4864" width="8.875" style="5"/>
    <col min="4865" max="4865" width="16" style="5" customWidth="1"/>
    <col min="4866" max="4866" width="10" style="5" customWidth="1"/>
    <col min="4867" max="4867" width="14.375" style="5" customWidth="1"/>
    <col min="4868" max="4868" width="9.5" style="5" customWidth="1"/>
    <col min="4869" max="4869" width="11.625" style="5" customWidth="1"/>
    <col min="4870" max="4870" width="10" style="5" customWidth="1"/>
    <col min="4871" max="4871" width="12.625" style="5" customWidth="1"/>
    <col min="4872" max="4872" width="9.125" style="5" customWidth="1"/>
    <col min="4873" max="4873" width="9.5" style="5" customWidth="1"/>
    <col min="4874" max="5120" width="8.875" style="5"/>
    <col min="5121" max="5121" width="16" style="5" customWidth="1"/>
    <col min="5122" max="5122" width="10" style="5" customWidth="1"/>
    <col min="5123" max="5123" width="14.375" style="5" customWidth="1"/>
    <col min="5124" max="5124" width="9.5" style="5" customWidth="1"/>
    <col min="5125" max="5125" width="11.625" style="5" customWidth="1"/>
    <col min="5126" max="5126" width="10" style="5" customWidth="1"/>
    <col min="5127" max="5127" width="12.625" style="5" customWidth="1"/>
    <col min="5128" max="5128" width="9.125" style="5" customWidth="1"/>
    <col min="5129" max="5129" width="9.5" style="5" customWidth="1"/>
    <col min="5130" max="5376" width="8.875" style="5"/>
    <col min="5377" max="5377" width="16" style="5" customWidth="1"/>
    <col min="5378" max="5378" width="10" style="5" customWidth="1"/>
    <col min="5379" max="5379" width="14.375" style="5" customWidth="1"/>
    <col min="5380" max="5380" width="9.5" style="5" customWidth="1"/>
    <col min="5381" max="5381" width="11.625" style="5" customWidth="1"/>
    <col min="5382" max="5382" width="10" style="5" customWidth="1"/>
    <col min="5383" max="5383" width="12.625" style="5" customWidth="1"/>
    <col min="5384" max="5384" width="9.125" style="5" customWidth="1"/>
    <col min="5385" max="5385" width="9.5" style="5" customWidth="1"/>
    <col min="5386" max="5632" width="8.875" style="5"/>
    <col min="5633" max="5633" width="16" style="5" customWidth="1"/>
    <col min="5634" max="5634" width="10" style="5" customWidth="1"/>
    <col min="5635" max="5635" width="14.375" style="5" customWidth="1"/>
    <col min="5636" max="5636" width="9.5" style="5" customWidth="1"/>
    <col min="5637" max="5637" width="11.625" style="5" customWidth="1"/>
    <col min="5638" max="5638" width="10" style="5" customWidth="1"/>
    <col min="5639" max="5639" width="12.625" style="5" customWidth="1"/>
    <col min="5640" max="5640" width="9.125" style="5" customWidth="1"/>
    <col min="5641" max="5641" width="9.5" style="5" customWidth="1"/>
    <col min="5642" max="5888" width="8.875" style="5"/>
    <col min="5889" max="5889" width="16" style="5" customWidth="1"/>
    <col min="5890" max="5890" width="10" style="5" customWidth="1"/>
    <col min="5891" max="5891" width="14.375" style="5" customWidth="1"/>
    <col min="5892" max="5892" width="9.5" style="5" customWidth="1"/>
    <col min="5893" max="5893" width="11.625" style="5" customWidth="1"/>
    <col min="5894" max="5894" width="10" style="5" customWidth="1"/>
    <col min="5895" max="5895" width="12.625" style="5" customWidth="1"/>
    <col min="5896" max="5896" width="9.125" style="5" customWidth="1"/>
    <col min="5897" max="5897" width="9.5" style="5" customWidth="1"/>
    <col min="5898" max="6144" width="8.875" style="5"/>
    <col min="6145" max="6145" width="16" style="5" customWidth="1"/>
    <col min="6146" max="6146" width="10" style="5" customWidth="1"/>
    <col min="6147" max="6147" width="14.375" style="5" customWidth="1"/>
    <col min="6148" max="6148" width="9.5" style="5" customWidth="1"/>
    <col min="6149" max="6149" width="11.625" style="5" customWidth="1"/>
    <col min="6150" max="6150" width="10" style="5" customWidth="1"/>
    <col min="6151" max="6151" width="12.625" style="5" customWidth="1"/>
    <col min="6152" max="6152" width="9.125" style="5" customWidth="1"/>
    <col min="6153" max="6153" width="9.5" style="5" customWidth="1"/>
    <col min="6154" max="6400" width="8.875" style="5"/>
    <col min="6401" max="6401" width="16" style="5" customWidth="1"/>
    <col min="6402" max="6402" width="10" style="5" customWidth="1"/>
    <col min="6403" max="6403" width="14.375" style="5" customWidth="1"/>
    <col min="6404" max="6404" width="9.5" style="5" customWidth="1"/>
    <col min="6405" max="6405" width="11.625" style="5" customWidth="1"/>
    <col min="6406" max="6406" width="10" style="5" customWidth="1"/>
    <col min="6407" max="6407" width="12.625" style="5" customWidth="1"/>
    <col min="6408" max="6408" width="9.125" style="5" customWidth="1"/>
    <col min="6409" max="6409" width="9.5" style="5" customWidth="1"/>
    <col min="6410" max="6656" width="8.875" style="5"/>
    <col min="6657" max="6657" width="16" style="5" customWidth="1"/>
    <col min="6658" max="6658" width="10" style="5" customWidth="1"/>
    <col min="6659" max="6659" width="14.375" style="5" customWidth="1"/>
    <col min="6660" max="6660" width="9.5" style="5" customWidth="1"/>
    <col min="6661" max="6661" width="11.625" style="5" customWidth="1"/>
    <col min="6662" max="6662" width="10" style="5" customWidth="1"/>
    <col min="6663" max="6663" width="12.625" style="5" customWidth="1"/>
    <col min="6664" max="6664" width="9.125" style="5" customWidth="1"/>
    <col min="6665" max="6665" width="9.5" style="5" customWidth="1"/>
    <col min="6666" max="6912" width="8.875" style="5"/>
    <col min="6913" max="6913" width="16" style="5" customWidth="1"/>
    <col min="6914" max="6914" width="10" style="5" customWidth="1"/>
    <col min="6915" max="6915" width="14.375" style="5" customWidth="1"/>
    <col min="6916" max="6916" width="9.5" style="5" customWidth="1"/>
    <col min="6917" max="6917" width="11.625" style="5" customWidth="1"/>
    <col min="6918" max="6918" width="10" style="5" customWidth="1"/>
    <col min="6919" max="6919" width="12.625" style="5" customWidth="1"/>
    <col min="6920" max="6920" width="9.125" style="5" customWidth="1"/>
    <col min="6921" max="6921" width="9.5" style="5" customWidth="1"/>
    <col min="6922" max="7168" width="8.875" style="5"/>
    <col min="7169" max="7169" width="16" style="5" customWidth="1"/>
    <col min="7170" max="7170" width="10" style="5" customWidth="1"/>
    <col min="7171" max="7171" width="14.375" style="5" customWidth="1"/>
    <col min="7172" max="7172" width="9.5" style="5" customWidth="1"/>
    <col min="7173" max="7173" width="11.625" style="5" customWidth="1"/>
    <col min="7174" max="7174" width="10" style="5" customWidth="1"/>
    <col min="7175" max="7175" width="12.625" style="5" customWidth="1"/>
    <col min="7176" max="7176" width="9.125" style="5" customWidth="1"/>
    <col min="7177" max="7177" width="9.5" style="5" customWidth="1"/>
    <col min="7178" max="7424" width="8.875" style="5"/>
    <col min="7425" max="7425" width="16" style="5" customWidth="1"/>
    <col min="7426" max="7426" width="10" style="5" customWidth="1"/>
    <col min="7427" max="7427" width="14.375" style="5" customWidth="1"/>
    <col min="7428" max="7428" width="9.5" style="5" customWidth="1"/>
    <col min="7429" max="7429" width="11.625" style="5" customWidth="1"/>
    <col min="7430" max="7430" width="10" style="5" customWidth="1"/>
    <col min="7431" max="7431" width="12.625" style="5" customWidth="1"/>
    <col min="7432" max="7432" width="9.125" style="5" customWidth="1"/>
    <col min="7433" max="7433" width="9.5" style="5" customWidth="1"/>
    <col min="7434" max="7680" width="8.875" style="5"/>
    <col min="7681" max="7681" width="16" style="5" customWidth="1"/>
    <col min="7682" max="7682" width="10" style="5" customWidth="1"/>
    <col min="7683" max="7683" width="14.375" style="5" customWidth="1"/>
    <col min="7684" max="7684" width="9.5" style="5" customWidth="1"/>
    <col min="7685" max="7685" width="11.625" style="5" customWidth="1"/>
    <col min="7686" max="7686" width="10" style="5" customWidth="1"/>
    <col min="7687" max="7687" width="12.625" style="5" customWidth="1"/>
    <col min="7688" max="7688" width="9.125" style="5" customWidth="1"/>
    <col min="7689" max="7689" width="9.5" style="5" customWidth="1"/>
    <col min="7690" max="7936" width="8.875" style="5"/>
    <col min="7937" max="7937" width="16" style="5" customWidth="1"/>
    <col min="7938" max="7938" width="10" style="5" customWidth="1"/>
    <col min="7939" max="7939" width="14.375" style="5" customWidth="1"/>
    <col min="7940" max="7940" width="9.5" style="5" customWidth="1"/>
    <col min="7941" max="7941" width="11.625" style="5" customWidth="1"/>
    <col min="7942" max="7942" width="10" style="5" customWidth="1"/>
    <col min="7943" max="7943" width="12.625" style="5" customWidth="1"/>
    <col min="7944" max="7944" width="9.125" style="5" customWidth="1"/>
    <col min="7945" max="7945" width="9.5" style="5" customWidth="1"/>
    <col min="7946" max="8192" width="8.875" style="5"/>
    <col min="8193" max="8193" width="16" style="5" customWidth="1"/>
    <col min="8194" max="8194" width="10" style="5" customWidth="1"/>
    <col min="8195" max="8195" width="14.375" style="5" customWidth="1"/>
    <col min="8196" max="8196" width="9.5" style="5" customWidth="1"/>
    <col min="8197" max="8197" width="11.625" style="5" customWidth="1"/>
    <col min="8198" max="8198" width="10" style="5" customWidth="1"/>
    <col min="8199" max="8199" width="12.625" style="5" customWidth="1"/>
    <col min="8200" max="8200" width="9.125" style="5" customWidth="1"/>
    <col min="8201" max="8201" width="9.5" style="5" customWidth="1"/>
    <col min="8202" max="8448" width="8.875" style="5"/>
    <col min="8449" max="8449" width="16" style="5" customWidth="1"/>
    <col min="8450" max="8450" width="10" style="5" customWidth="1"/>
    <col min="8451" max="8451" width="14.375" style="5" customWidth="1"/>
    <col min="8452" max="8452" width="9.5" style="5" customWidth="1"/>
    <col min="8453" max="8453" width="11.625" style="5" customWidth="1"/>
    <col min="8454" max="8454" width="10" style="5" customWidth="1"/>
    <col min="8455" max="8455" width="12.625" style="5" customWidth="1"/>
    <col min="8456" max="8456" width="9.125" style="5" customWidth="1"/>
    <col min="8457" max="8457" width="9.5" style="5" customWidth="1"/>
    <col min="8458" max="8704" width="8.875" style="5"/>
    <col min="8705" max="8705" width="16" style="5" customWidth="1"/>
    <col min="8706" max="8706" width="10" style="5" customWidth="1"/>
    <col min="8707" max="8707" width="14.375" style="5" customWidth="1"/>
    <col min="8708" max="8708" width="9.5" style="5" customWidth="1"/>
    <col min="8709" max="8709" width="11.625" style="5" customWidth="1"/>
    <col min="8710" max="8710" width="10" style="5" customWidth="1"/>
    <col min="8711" max="8711" width="12.625" style="5" customWidth="1"/>
    <col min="8712" max="8712" width="9.125" style="5" customWidth="1"/>
    <col min="8713" max="8713" width="9.5" style="5" customWidth="1"/>
    <col min="8714" max="8960" width="8.875" style="5"/>
    <col min="8961" max="8961" width="16" style="5" customWidth="1"/>
    <col min="8962" max="8962" width="10" style="5" customWidth="1"/>
    <col min="8963" max="8963" width="14.375" style="5" customWidth="1"/>
    <col min="8964" max="8964" width="9.5" style="5" customWidth="1"/>
    <col min="8965" max="8965" width="11.625" style="5" customWidth="1"/>
    <col min="8966" max="8966" width="10" style="5" customWidth="1"/>
    <col min="8967" max="8967" width="12.625" style="5" customWidth="1"/>
    <col min="8968" max="8968" width="9.125" style="5" customWidth="1"/>
    <col min="8969" max="8969" width="9.5" style="5" customWidth="1"/>
    <col min="8970" max="9216" width="8.875" style="5"/>
    <col min="9217" max="9217" width="16" style="5" customWidth="1"/>
    <col min="9218" max="9218" width="10" style="5" customWidth="1"/>
    <col min="9219" max="9219" width="14.375" style="5" customWidth="1"/>
    <col min="9220" max="9220" width="9.5" style="5" customWidth="1"/>
    <col min="9221" max="9221" width="11.625" style="5" customWidth="1"/>
    <col min="9222" max="9222" width="10" style="5" customWidth="1"/>
    <col min="9223" max="9223" width="12.625" style="5" customWidth="1"/>
    <col min="9224" max="9224" width="9.125" style="5" customWidth="1"/>
    <col min="9225" max="9225" width="9.5" style="5" customWidth="1"/>
    <col min="9226" max="9472" width="8.875" style="5"/>
    <col min="9473" max="9473" width="16" style="5" customWidth="1"/>
    <col min="9474" max="9474" width="10" style="5" customWidth="1"/>
    <col min="9475" max="9475" width="14.375" style="5" customWidth="1"/>
    <col min="9476" max="9476" width="9.5" style="5" customWidth="1"/>
    <col min="9477" max="9477" width="11.625" style="5" customWidth="1"/>
    <col min="9478" max="9478" width="10" style="5" customWidth="1"/>
    <col min="9479" max="9479" width="12.625" style="5" customWidth="1"/>
    <col min="9480" max="9480" width="9.125" style="5" customWidth="1"/>
    <col min="9481" max="9481" width="9.5" style="5" customWidth="1"/>
    <col min="9482" max="9728" width="8.875" style="5"/>
    <col min="9729" max="9729" width="16" style="5" customWidth="1"/>
    <col min="9730" max="9730" width="10" style="5" customWidth="1"/>
    <col min="9731" max="9731" width="14.375" style="5" customWidth="1"/>
    <col min="9732" max="9732" width="9.5" style="5" customWidth="1"/>
    <col min="9733" max="9733" width="11.625" style="5" customWidth="1"/>
    <col min="9734" max="9734" width="10" style="5" customWidth="1"/>
    <col min="9735" max="9735" width="12.625" style="5" customWidth="1"/>
    <col min="9736" max="9736" width="9.125" style="5" customWidth="1"/>
    <col min="9737" max="9737" width="9.5" style="5" customWidth="1"/>
    <col min="9738" max="9984" width="8.875" style="5"/>
    <col min="9985" max="9985" width="16" style="5" customWidth="1"/>
    <col min="9986" max="9986" width="10" style="5" customWidth="1"/>
    <col min="9987" max="9987" width="14.375" style="5" customWidth="1"/>
    <col min="9988" max="9988" width="9.5" style="5" customWidth="1"/>
    <col min="9989" max="9989" width="11.625" style="5" customWidth="1"/>
    <col min="9990" max="9990" width="10" style="5" customWidth="1"/>
    <col min="9991" max="9991" width="12.625" style="5" customWidth="1"/>
    <col min="9992" max="9992" width="9.125" style="5" customWidth="1"/>
    <col min="9993" max="9993" width="9.5" style="5" customWidth="1"/>
    <col min="9994" max="10240" width="8.875" style="5"/>
    <col min="10241" max="10241" width="16" style="5" customWidth="1"/>
    <col min="10242" max="10242" width="10" style="5" customWidth="1"/>
    <col min="10243" max="10243" width="14.375" style="5" customWidth="1"/>
    <col min="10244" max="10244" width="9.5" style="5" customWidth="1"/>
    <col min="10245" max="10245" width="11.625" style="5" customWidth="1"/>
    <col min="10246" max="10246" width="10" style="5" customWidth="1"/>
    <col min="10247" max="10247" width="12.625" style="5" customWidth="1"/>
    <col min="10248" max="10248" width="9.125" style="5" customWidth="1"/>
    <col min="10249" max="10249" width="9.5" style="5" customWidth="1"/>
    <col min="10250" max="10496" width="8.875" style="5"/>
    <col min="10497" max="10497" width="16" style="5" customWidth="1"/>
    <col min="10498" max="10498" width="10" style="5" customWidth="1"/>
    <col min="10499" max="10499" width="14.375" style="5" customWidth="1"/>
    <col min="10500" max="10500" width="9.5" style="5" customWidth="1"/>
    <col min="10501" max="10501" width="11.625" style="5" customWidth="1"/>
    <col min="10502" max="10502" width="10" style="5" customWidth="1"/>
    <col min="10503" max="10503" width="12.625" style="5" customWidth="1"/>
    <col min="10504" max="10504" width="9.125" style="5" customWidth="1"/>
    <col min="10505" max="10505" width="9.5" style="5" customWidth="1"/>
    <col min="10506" max="10752" width="8.875" style="5"/>
    <col min="10753" max="10753" width="16" style="5" customWidth="1"/>
    <col min="10754" max="10754" width="10" style="5" customWidth="1"/>
    <col min="10755" max="10755" width="14.375" style="5" customWidth="1"/>
    <col min="10756" max="10756" width="9.5" style="5" customWidth="1"/>
    <col min="10757" max="10757" width="11.625" style="5" customWidth="1"/>
    <col min="10758" max="10758" width="10" style="5" customWidth="1"/>
    <col min="10759" max="10759" width="12.625" style="5" customWidth="1"/>
    <col min="10760" max="10760" width="9.125" style="5" customWidth="1"/>
    <col min="10761" max="10761" width="9.5" style="5" customWidth="1"/>
    <col min="10762" max="11008" width="8.875" style="5"/>
    <col min="11009" max="11009" width="16" style="5" customWidth="1"/>
    <col min="11010" max="11010" width="10" style="5" customWidth="1"/>
    <col min="11011" max="11011" width="14.375" style="5" customWidth="1"/>
    <col min="11012" max="11012" width="9.5" style="5" customWidth="1"/>
    <col min="11013" max="11013" width="11.625" style="5" customWidth="1"/>
    <col min="11014" max="11014" width="10" style="5" customWidth="1"/>
    <col min="11015" max="11015" width="12.625" style="5" customWidth="1"/>
    <col min="11016" max="11016" width="9.125" style="5" customWidth="1"/>
    <col min="11017" max="11017" width="9.5" style="5" customWidth="1"/>
    <col min="11018" max="11264" width="8.875" style="5"/>
    <col min="11265" max="11265" width="16" style="5" customWidth="1"/>
    <col min="11266" max="11266" width="10" style="5" customWidth="1"/>
    <col min="11267" max="11267" width="14.375" style="5" customWidth="1"/>
    <col min="11268" max="11268" width="9.5" style="5" customWidth="1"/>
    <col min="11269" max="11269" width="11.625" style="5" customWidth="1"/>
    <col min="11270" max="11270" width="10" style="5" customWidth="1"/>
    <col min="11271" max="11271" width="12.625" style="5" customWidth="1"/>
    <col min="11272" max="11272" width="9.125" style="5" customWidth="1"/>
    <col min="11273" max="11273" width="9.5" style="5" customWidth="1"/>
    <col min="11274" max="11520" width="8.875" style="5"/>
    <col min="11521" max="11521" width="16" style="5" customWidth="1"/>
    <col min="11522" max="11522" width="10" style="5" customWidth="1"/>
    <col min="11523" max="11523" width="14.375" style="5" customWidth="1"/>
    <col min="11524" max="11524" width="9.5" style="5" customWidth="1"/>
    <col min="11525" max="11525" width="11.625" style="5" customWidth="1"/>
    <col min="11526" max="11526" width="10" style="5" customWidth="1"/>
    <col min="11527" max="11527" width="12.625" style="5" customWidth="1"/>
    <col min="11528" max="11528" width="9.125" style="5" customWidth="1"/>
    <col min="11529" max="11529" width="9.5" style="5" customWidth="1"/>
    <col min="11530" max="11776" width="8.875" style="5"/>
    <col min="11777" max="11777" width="16" style="5" customWidth="1"/>
    <col min="11778" max="11778" width="10" style="5" customWidth="1"/>
    <col min="11779" max="11779" width="14.375" style="5" customWidth="1"/>
    <col min="11780" max="11780" width="9.5" style="5" customWidth="1"/>
    <col min="11781" max="11781" width="11.625" style="5" customWidth="1"/>
    <col min="11782" max="11782" width="10" style="5" customWidth="1"/>
    <col min="11783" max="11783" width="12.625" style="5" customWidth="1"/>
    <col min="11784" max="11784" width="9.125" style="5" customWidth="1"/>
    <col min="11785" max="11785" width="9.5" style="5" customWidth="1"/>
    <col min="11786" max="12032" width="8.875" style="5"/>
    <col min="12033" max="12033" width="16" style="5" customWidth="1"/>
    <col min="12034" max="12034" width="10" style="5" customWidth="1"/>
    <col min="12035" max="12035" width="14.375" style="5" customWidth="1"/>
    <col min="12036" max="12036" width="9.5" style="5" customWidth="1"/>
    <col min="12037" max="12037" width="11.625" style="5" customWidth="1"/>
    <col min="12038" max="12038" width="10" style="5" customWidth="1"/>
    <col min="12039" max="12039" width="12.625" style="5" customWidth="1"/>
    <col min="12040" max="12040" width="9.125" style="5" customWidth="1"/>
    <col min="12041" max="12041" width="9.5" style="5" customWidth="1"/>
    <col min="12042" max="12288" width="8.875" style="5"/>
    <col min="12289" max="12289" width="16" style="5" customWidth="1"/>
    <col min="12290" max="12290" width="10" style="5" customWidth="1"/>
    <col min="12291" max="12291" width="14.375" style="5" customWidth="1"/>
    <col min="12292" max="12292" width="9.5" style="5" customWidth="1"/>
    <col min="12293" max="12293" width="11.625" style="5" customWidth="1"/>
    <col min="12294" max="12294" width="10" style="5" customWidth="1"/>
    <col min="12295" max="12295" width="12.625" style="5" customWidth="1"/>
    <col min="12296" max="12296" width="9.125" style="5" customWidth="1"/>
    <col min="12297" max="12297" width="9.5" style="5" customWidth="1"/>
    <col min="12298" max="12544" width="8.875" style="5"/>
    <col min="12545" max="12545" width="16" style="5" customWidth="1"/>
    <col min="12546" max="12546" width="10" style="5" customWidth="1"/>
    <col min="12547" max="12547" width="14.375" style="5" customWidth="1"/>
    <col min="12548" max="12548" width="9.5" style="5" customWidth="1"/>
    <col min="12549" max="12549" width="11.625" style="5" customWidth="1"/>
    <col min="12550" max="12550" width="10" style="5" customWidth="1"/>
    <col min="12551" max="12551" width="12.625" style="5" customWidth="1"/>
    <col min="12552" max="12552" width="9.125" style="5" customWidth="1"/>
    <col min="12553" max="12553" width="9.5" style="5" customWidth="1"/>
    <col min="12554" max="12800" width="8.875" style="5"/>
    <col min="12801" max="12801" width="16" style="5" customWidth="1"/>
    <col min="12802" max="12802" width="10" style="5" customWidth="1"/>
    <col min="12803" max="12803" width="14.375" style="5" customWidth="1"/>
    <col min="12804" max="12804" width="9.5" style="5" customWidth="1"/>
    <col min="12805" max="12805" width="11.625" style="5" customWidth="1"/>
    <col min="12806" max="12806" width="10" style="5" customWidth="1"/>
    <col min="12807" max="12807" width="12.625" style="5" customWidth="1"/>
    <col min="12808" max="12808" width="9.125" style="5" customWidth="1"/>
    <col min="12809" max="12809" width="9.5" style="5" customWidth="1"/>
    <col min="12810" max="13056" width="8.875" style="5"/>
    <col min="13057" max="13057" width="16" style="5" customWidth="1"/>
    <col min="13058" max="13058" width="10" style="5" customWidth="1"/>
    <col min="13059" max="13059" width="14.375" style="5" customWidth="1"/>
    <col min="13060" max="13060" width="9.5" style="5" customWidth="1"/>
    <col min="13061" max="13061" width="11.625" style="5" customWidth="1"/>
    <col min="13062" max="13062" width="10" style="5" customWidth="1"/>
    <col min="13063" max="13063" width="12.625" style="5" customWidth="1"/>
    <col min="13064" max="13064" width="9.125" style="5" customWidth="1"/>
    <col min="13065" max="13065" width="9.5" style="5" customWidth="1"/>
    <col min="13066" max="13312" width="8.875" style="5"/>
    <col min="13313" max="13313" width="16" style="5" customWidth="1"/>
    <col min="13314" max="13314" width="10" style="5" customWidth="1"/>
    <col min="13315" max="13315" width="14.375" style="5" customWidth="1"/>
    <col min="13316" max="13316" width="9.5" style="5" customWidth="1"/>
    <col min="13317" max="13317" width="11.625" style="5" customWidth="1"/>
    <col min="13318" max="13318" width="10" style="5" customWidth="1"/>
    <col min="13319" max="13319" width="12.625" style="5" customWidth="1"/>
    <col min="13320" max="13320" width="9.125" style="5" customWidth="1"/>
    <col min="13321" max="13321" width="9.5" style="5" customWidth="1"/>
    <col min="13322" max="13568" width="8.875" style="5"/>
    <col min="13569" max="13569" width="16" style="5" customWidth="1"/>
    <col min="13570" max="13570" width="10" style="5" customWidth="1"/>
    <col min="13571" max="13571" width="14.375" style="5" customWidth="1"/>
    <col min="13572" max="13572" width="9.5" style="5" customWidth="1"/>
    <col min="13573" max="13573" width="11.625" style="5" customWidth="1"/>
    <col min="13574" max="13574" width="10" style="5" customWidth="1"/>
    <col min="13575" max="13575" width="12.625" style="5" customWidth="1"/>
    <col min="13576" max="13576" width="9.125" style="5" customWidth="1"/>
    <col min="13577" max="13577" width="9.5" style="5" customWidth="1"/>
    <col min="13578" max="13824" width="8.875" style="5"/>
    <col min="13825" max="13825" width="16" style="5" customWidth="1"/>
    <col min="13826" max="13826" width="10" style="5" customWidth="1"/>
    <col min="13827" max="13827" width="14.375" style="5" customWidth="1"/>
    <col min="13828" max="13828" width="9.5" style="5" customWidth="1"/>
    <col min="13829" max="13829" width="11.625" style="5" customWidth="1"/>
    <col min="13830" max="13830" width="10" style="5" customWidth="1"/>
    <col min="13831" max="13831" width="12.625" style="5" customWidth="1"/>
    <col min="13832" max="13832" width="9.125" style="5" customWidth="1"/>
    <col min="13833" max="13833" width="9.5" style="5" customWidth="1"/>
    <col min="13834" max="14080" width="8.875" style="5"/>
    <col min="14081" max="14081" width="16" style="5" customWidth="1"/>
    <col min="14082" max="14082" width="10" style="5" customWidth="1"/>
    <col min="14083" max="14083" width="14.375" style="5" customWidth="1"/>
    <col min="14084" max="14084" width="9.5" style="5" customWidth="1"/>
    <col min="14085" max="14085" width="11.625" style="5" customWidth="1"/>
    <col min="14086" max="14086" width="10" style="5" customWidth="1"/>
    <col min="14087" max="14087" width="12.625" style="5" customWidth="1"/>
    <col min="14088" max="14088" width="9.125" style="5" customWidth="1"/>
    <col min="14089" max="14089" width="9.5" style="5" customWidth="1"/>
    <col min="14090" max="14336" width="8.875" style="5"/>
    <col min="14337" max="14337" width="16" style="5" customWidth="1"/>
    <col min="14338" max="14338" width="10" style="5" customWidth="1"/>
    <col min="14339" max="14339" width="14.375" style="5" customWidth="1"/>
    <col min="14340" max="14340" width="9.5" style="5" customWidth="1"/>
    <col min="14341" max="14341" width="11.625" style="5" customWidth="1"/>
    <col min="14342" max="14342" width="10" style="5" customWidth="1"/>
    <col min="14343" max="14343" width="12.625" style="5" customWidth="1"/>
    <col min="14344" max="14344" width="9.125" style="5" customWidth="1"/>
    <col min="14345" max="14345" width="9.5" style="5" customWidth="1"/>
    <col min="14346" max="14592" width="8.875" style="5"/>
    <col min="14593" max="14593" width="16" style="5" customWidth="1"/>
    <col min="14594" max="14594" width="10" style="5" customWidth="1"/>
    <col min="14595" max="14595" width="14.375" style="5" customWidth="1"/>
    <col min="14596" max="14596" width="9.5" style="5" customWidth="1"/>
    <col min="14597" max="14597" width="11.625" style="5" customWidth="1"/>
    <col min="14598" max="14598" width="10" style="5" customWidth="1"/>
    <col min="14599" max="14599" width="12.625" style="5" customWidth="1"/>
    <col min="14600" max="14600" width="9.125" style="5" customWidth="1"/>
    <col min="14601" max="14601" width="9.5" style="5" customWidth="1"/>
    <col min="14602" max="14848" width="8.875" style="5"/>
    <col min="14849" max="14849" width="16" style="5" customWidth="1"/>
    <col min="14850" max="14850" width="10" style="5" customWidth="1"/>
    <col min="14851" max="14851" width="14.375" style="5" customWidth="1"/>
    <col min="14852" max="14852" width="9.5" style="5" customWidth="1"/>
    <col min="14853" max="14853" width="11.625" style="5" customWidth="1"/>
    <col min="14854" max="14854" width="10" style="5" customWidth="1"/>
    <col min="14855" max="14855" width="12.625" style="5" customWidth="1"/>
    <col min="14856" max="14856" width="9.125" style="5" customWidth="1"/>
    <col min="14857" max="14857" width="9.5" style="5" customWidth="1"/>
    <col min="14858" max="15104" width="8.875" style="5"/>
    <col min="15105" max="15105" width="16" style="5" customWidth="1"/>
    <col min="15106" max="15106" width="10" style="5" customWidth="1"/>
    <col min="15107" max="15107" width="14.375" style="5" customWidth="1"/>
    <col min="15108" max="15108" width="9.5" style="5" customWidth="1"/>
    <col min="15109" max="15109" width="11.625" style="5" customWidth="1"/>
    <col min="15110" max="15110" width="10" style="5" customWidth="1"/>
    <col min="15111" max="15111" width="12.625" style="5" customWidth="1"/>
    <col min="15112" max="15112" width="9.125" style="5" customWidth="1"/>
    <col min="15113" max="15113" width="9.5" style="5" customWidth="1"/>
    <col min="15114" max="15360" width="8.875" style="5"/>
    <col min="15361" max="15361" width="16" style="5" customWidth="1"/>
    <col min="15362" max="15362" width="10" style="5" customWidth="1"/>
    <col min="15363" max="15363" width="14.375" style="5" customWidth="1"/>
    <col min="15364" max="15364" width="9.5" style="5" customWidth="1"/>
    <col min="15365" max="15365" width="11.625" style="5" customWidth="1"/>
    <col min="15366" max="15366" width="10" style="5" customWidth="1"/>
    <col min="15367" max="15367" width="12.625" style="5" customWidth="1"/>
    <col min="15368" max="15368" width="9.125" style="5" customWidth="1"/>
    <col min="15369" max="15369" width="9.5" style="5" customWidth="1"/>
    <col min="15370" max="15616" width="8.875" style="5"/>
    <col min="15617" max="15617" width="16" style="5" customWidth="1"/>
    <col min="15618" max="15618" width="10" style="5" customWidth="1"/>
    <col min="15619" max="15619" width="14.375" style="5" customWidth="1"/>
    <col min="15620" max="15620" width="9.5" style="5" customWidth="1"/>
    <col min="15621" max="15621" width="11.625" style="5" customWidth="1"/>
    <col min="15622" max="15622" width="10" style="5" customWidth="1"/>
    <col min="15623" max="15623" width="12.625" style="5" customWidth="1"/>
    <col min="15624" max="15624" width="9.125" style="5" customWidth="1"/>
    <col min="15625" max="15625" width="9.5" style="5" customWidth="1"/>
    <col min="15626" max="15872" width="8.875" style="5"/>
    <col min="15873" max="15873" width="16" style="5" customWidth="1"/>
    <col min="15874" max="15874" width="10" style="5" customWidth="1"/>
    <col min="15875" max="15875" width="14.375" style="5" customWidth="1"/>
    <col min="15876" max="15876" width="9.5" style="5" customWidth="1"/>
    <col min="15877" max="15877" width="11.625" style="5" customWidth="1"/>
    <col min="15878" max="15878" width="10" style="5" customWidth="1"/>
    <col min="15879" max="15879" width="12.625" style="5" customWidth="1"/>
    <col min="15880" max="15880" width="9.125" style="5" customWidth="1"/>
    <col min="15881" max="15881" width="9.5" style="5" customWidth="1"/>
    <col min="15882" max="16128" width="8.875" style="5"/>
    <col min="16129" max="16129" width="16" style="5" customWidth="1"/>
    <col min="16130" max="16130" width="10" style="5" customWidth="1"/>
    <col min="16131" max="16131" width="14.375" style="5" customWidth="1"/>
    <col min="16132" max="16132" width="9.5" style="5" customWidth="1"/>
    <col min="16133" max="16133" width="11.625" style="5" customWidth="1"/>
    <col min="16134" max="16134" width="10" style="5" customWidth="1"/>
    <col min="16135" max="16135" width="12.625" style="5" customWidth="1"/>
    <col min="16136" max="16136" width="9.125" style="5" customWidth="1"/>
    <col min="16137" max="16137" width="9.5" style="5" customWidth="1"/>
    <col min="16138" max="16384" width="8.875" style="5"/>
  </cols>
  <sheetData>
    <row r="1" spans="1:9" s="181" customFormat="1" ht="19.5">
      <c r="A1" s="558" t="s">
        <v>488</v>
      </c>
      <c r="B1" s="558"/>
      <c r="C1" s="558"/>
      <c r="D1" s="558"/>
      <c r="E1" s="558"/>
      <c r="F1" s="558"/>
      <c r="G1" s="558"/>
      <c r="H1" s="558"/>
      <c r="I1" s="558"/>
    </row>
    <row r="3" spans="1:9" s="7" customFormat="1" ht="15.75">
      <c r="A3" s="112" t="s">
        <v>156</v>
      </c>
      <c r="B3" s="182"/>
      <c r="C3" s="63"/>
      <c r="D3" s="183"/>
      <c r="E3" s="63"/>
      <c r="F3" s="182"/>
      <c r="G3" s="182"/>
      <c r="H3" s="63"/>
      <c r="I3" s="183"/>
    </row>
    <row r="4" spans="1:9" s="13" customFormat="1">
      <c r="A4" s="8" t="s">
        <v>476</v>
      </c>
      <c r="B4" s="8" t="s">
        <v>477</v>
      </c>
      <c r="C4" s="8" t="s">
        <v>481</v>
      </c>
      <c r="D4" s="9" t="s">
        <v>1</v>
      </c>
      <c r="E4" s="10" t="s">
        <v>479</v>
      </c>
      <c r="F4" s="11" t="s">
        <v>2</v>
      </c>
      <c r="G4" s="8" t="s">
        <v>480</v>
      </c>
      <c r="H4" s="11" t="s">
        <v>2</v>
      </c>
      <c r="I4" s="184" t="s">
        <v>1</v>
      </c>
    </row>
    <row r="5" spans="1:9" s="13" customFormat="1">
      <c r="A5" s="14"/>
      <c r="B5" s="14" t="s">
        <v>3</v>
      </c>
      <c r="C5" s="8" t="s">
        <v>4</v>
      </c>
      <c r="D5" s="11" t="s">
        <v>4</v>
      </c>
      <c r="E5" s="11" t="s">
        <v>3</v>
      </c>
      <c r="F5" s="11"/>
      <c r="G5" s="8" t="s">
        <v>116</v>
      </c>
      <c r="H5" s="8"/>
      <c r="I5" s="185" t="s">
        <v>4</v>
      </c>
    </row>
    <row r="6" spans="1:9" ht="18.600000000000001" customHeight="1">
      <c r="A6" s="173" t="s">
        <v>5</v>
      </c>
      <c r="B6" s="186"/>
      <c r="C6" s="17"/>
      <c r="D6" s="187"/>
      <c r="E6" s="17"/>
      <c r="F6" s="187"/>
      <c r="G6" s="187"/>
      <c r="H6" s="17"/>
      <c r="I6" s="188"/>
    </row>
    <row r="7" spans="1:9">
      <c r="A7" s="20" t="s">
        <v>6</v>
      </c>
      <c r="B7" s="189">
        <f>SUM(B8:B10)</f>
        <v>1</v>
      </c>
      <c r="C7" s="22">
        <f>SUM(C8:C10)</f>
        <v>591</v>
      </c>
      <c r="D7" s="190">
        <f>IF(B7,C7/B7,0)</f>
        <v>591</v>
      </c>
      <c r="E7" s="22">
        <f>SUM(E8:E10)</f>
        <v>1</v>
      </c>
      <c r="F7" s="191">
        <f>E7/$E$68</f>
        <v>3.1969309462915604E-4</v>
      </c>
      <c r="G7" s="192">
        <f>SUM(G8:G10)</f>
        <v>591</v>
      </c>
      <c r="H7" s="24">
        <f>G7/$G$68</f>
        <v>2.5440801708106618E-4</v>
      </c>
      <c r="I7" s="193">
        <f>IF(E7,G7/E7,0)</f>
        <v>591</v>
      </c>
    </row>
    <row r="8" spans="1:9">
      <c r="A8" s="26" t="s">
        <v>381</v>
      </c>
      <c r="B8" s="194">
        <v>0</v>
      </c>
      <c r="C8" s="28">
        <v>0</v>
      </c>
      <c r="D8" s="190">
        <f t="shared" ref="D8:D67" si="0">IF(B8,C8/B8,0)</f>
        <v>0</v>
      </c>
      <c r="E8" s="28">
        <v>0</v>
      </c>
      <c r="F8" s="191">
        <f>E8/$E$68</f>
        <v>0</v>
      </c>
      <c r="G8" s="194">
        <v>0</v>
      </c>
      <c r="H8" s="24">
        <f>G8/$G$68</f>
        <v>0</v>
      </c>
      <c r="I8" s="193">
        <f t="shared" ref="I8:I67" si="1">IF(E8,G8/E8,0)</f>
        <v>0</v>
      </c>
    </row>
    <row r="9" spans="1:9">
      <c r="A9" s="30" t="s">
        <v>7</v>
      </c>
      <c r="B9" s="194">
        <f>VLOOKUP(A9,[10]進出口值表查詢結果!$A$2:$C$10,3,0)</f>
        <v>1</v>
      </c>
      <c r="C9" s="194">
        <f>VLOOKUP(A9,[10]進出口值表查詢結果!$A$2:$C$10,2,0)</f>
        <v>591</v>
      </c>
      <c r="D9" s="190">
        <f t="shared" si="0"/>
        <v>591</v>
      </c>
      <c r="E9" s="27">
        <f>VLOOKUP(A9,[11]進出口值表查詢結果!$A$2:$C$14,3,0)</f>
        <v>1</v>
      </c>
      <c r="F9" s="191">
        <f>E9/$E$68</f>
        <v>3.1969309462915604E-4</v>
      </c>
      <c r="G9" s="27">
        <f>VLOOKUP(A9,[11]進出口值表查詢結果!$A$2:$C$14,2,0)</f>
        <v>591</v>
      </c>
      <c r="H9" s="24">
        <f>G9/$G$68</f>
        <v>2.5440801708106618E-4</v>
      </c>
      <c r="I9" s="193">
        <f t="shared" si="1"/>
        <v>591</v>
      </c>
    </row>
    <row r="10" spans="1:9">
      <c r="A10" s="30" t="s">
        <v>8</v>
      </c>
      <c r="B10" s="194">
        <v>0</v>
      </c>
      <c r="C10" s="28">
        <v>0</v>
      </c>
      <c r="D10" s="190">
        <f t="shared" si="0"/>
        <v>0</v>
      </c>
      <c r="E10" s="27">
        <v>0</v>
      </c>
      <c r="F10" s="191">
        <f>E10/$E$68</f>
        <v>0</v>
      </c>
      <c r="G10" s="194">
        <v>0</v>
      </c>
      <c r="H10" s="24">
        <f>G10/$G$68</f>
        <v>0</v>
      </c>
      <c r="I10" s="193">
        <f t="shared" si="1"/>
        <v>0</v>
      </c>
    </row>
    <row r="11" spans="1:9">
      <c r="A11" s="31"/>
      <c r="B11" s="194"/>
      <c r="C11" s="28"/>
      <c r="D11" s="190"/>
      <c r="E11" s="27"/>
      <c r="F11" s="195"/>
      <c r="G11" s="194"/>
      <c r="H11" s="29"/>
      <c r="I11" s="193"/>
    </row>
    <row r="12" spans="1:9">
      <c r="A12" s="32" t="s">
        <v>9</v>
      </c>
      <c r="B12" s="196">
        <f>SUM(B13:B39)</f>
        <v>30</v>
      </c>
      <c r="C12" s="33">
        <f>SUM(C13:C39)</f>
        <v>13469</v>
      </c>
      <c r="D12" s="190">
        <f t="shared" si="0"/>
        <v>448.96666666666664</v>
      </c>
      <c r="E12" s="33">
        <f>SUM(E13:E39)</f>
        <v>78</v>
      </c>
      <c r="F12" s="191">
        <f t="shared" ref="F12:F13" si="2">E12/$E$68</f>
        <v>2.4936061381074168E-2</v>
      </c>
      <c r="G12" s="196">
        <f>SUM(G13:G39)</f>
        <v>53600</v>
      </c>
      <c r="H12" s="24">
        <f>G12/$G$68</f>
        <v>2.3073214408705835E-2</v>
      </c>
      <c r="I12" s="193">
        <f t="shared" si="1"/>
        <v>687.17948717948718</v>
      </c>
    </row>
    <row r="13" spans="1:9">
      <c r="A13" s="453" t="s">
        <v>202</v>
      </c>
      <c r="B13" s="194">
        <f>VLOOKUP(A13,[10]進出口值表查詢結果!$A$2:$C$10,3,0)</f>
        <v>30</v>
      </c>
      <c r="C13" s="194">
        <f>VLOOKUP(A13,[10]進出口值表查詢結果!$A$2:$C$10,2,0)</f>
        <v>13469</v>
      </c>
      <c r="D13" s="190">
        <f t="shared" si="0"/>
        <v>448.96666666666664</v>
      </c>
      <c r="E13" s="27">
        <f>VLOOKUP(A13,[11]進出口值表查詢結果!$A$2:$C$14,3,0)</f>
        <v>30</v>
      </c>
      <c r="F13" s="191">
        <f t="shared" si="2"/>
        <v>9.5907928388746806E-3</v>
      </c>
      <c r="G13" s="27">
        <f>VLOOKUP(A13,[11]進出口值表查詢結果!$A$2:$C$14,2,0)</f>
        <v>13469</v>
      </c>
      <c r="H13" s="24">
        <f>G13/$G$68</f>
        <v>5.7980060610234863E-3</v>
      </c>
      <c r="I13" s="193">
        <f t="shared" si="1"/>
        <v>448.96666666666664</v>
      </c>
    </row>
    <row r="14" spans="1:9">
      <c r="A14" s="453" t="s">
        <v>203</v>
      </c>
      <c r="B14" s="194">
        <v>0</v>
      </c>
      <c r="C14" s="28">
        <v>0</v>
      </c>
      <c r="D14" s="190">
        <f t="shared" ref="D14:D39" si="3">IF(B14,C14/B14,0)</f>
        <v>0</v>
      </c>
      <c r="E14" s="27">
        <v>0</v>
      </c>
      <c r="F14" s="191">
        <f t="shared" ref="F14:F39" si="4">E14/$E$68</f>
        <v>0</v>
      </c>
      <c r="G14" s="194">
        <v>0</v>
      </c>
      <c r="H14" s="24">
        <f t="shared" ref="H14:H39" si="5">G14/$G$68</f>
        <v>0</v>
      </c>
      <c r="I14" s="193">
        <f t="shared" ref="I14:I39" si="6">IF(E14,G14/E14,0)</f>
        <v>0</v>
      </c>
    </row>
    <row r="15" spans="1:9">
      <c r="A15" s="454" t="s">
        <v>10</v>
      </c>
      <c r="B15" s="194">
        <v>0</v>
      </c>
      <c r="C15" s="28">
        <v>0</v>
      </c>
      <c r="D15" s="190">
        <f t="shared" si="3"/>
        <v>0</v>
      </c>
      <c r="E15" s="27">
        <f>VLOOKUP(A15,[11]進出口值表查詢結果!$A$2:$C$14,3,0)</f>
        <v>48</v>
      </c>
      <c r="F15" s="191">
        <f t="shared" si="4"/>
        <v>1.5345268542199489E-2</v>
      </c>
      <c r="G15" s="27">
        <f>VLOOKUP(A15,[11]進出口值表查詢結果!$A$2:$C$14,2,0)</f>
        <v>40131</v>
      </c>
      <c r="H15" s="24">
        <f t="shared" si="5"/>
        <v>1.7275208347682348E-2</v>
      </c>
      <c r="I15" s="193">
        <f t="shared" si="6"/>
        <v>836.0625</v>
      </c>
    </row>
    <row r="16" spans="1:9">
      <c r="A16" s="453" t="s">
        <v>204</v>
      </c>
      <c r="B16" s="194">
        <v>0</v>
      </c>
      <c r="C16" s="28">
        <v>0</v>
      </c>
      <c r="D16" s="190">
        <f t="shared" si="3"/>
        <v>0</v>
      </c>
      <c r="E16" s="27">
        <v>0</v>
      </c>
      <c r="F16" s="191">
        <f t="shared" si="4"/>
        <v>0</v>
      </c>
      <c r="G16" s="27">
        <v>0</v>
      </c>
      <c r="H16" s="24">
        <f t="shared" si="5"/>
        <v>0</v>
      </c>
      <c r="I16" s="193">
        <f t="shared" si="6"/>
        <v>0</v>
      </c>
    </row>
    <row r="17" spans="1:9">
      <c r="A17" s="454" t="s">
        <v>11</v>
      </c>
      <c r="B17" s="194">
        <v>0</v>
      </c>
      <c r="C17" s="28">
        <v>0</v>
      </c>
      <c r="D17" s="190">
        <f t="shared" si="3"/>
        <v>0</v>
      </c>
      <c r="E17" s="27">
        <v>0</v>
      </c>
      <c r="F17" s="191">
        <f t="shared" si="4"/>
        <v>0</v>
      </c>
      <c r="G17" s="27">
        <v>0</v>
      </c>
      <c r="H17" s="24">
        <f t="shared" si="5"/>
        <v>0</v>
      </c>
      <c r="I17" s="193">
        <f t="shared" si="6"/>
        <v>0</v>
      </c>
    </row>
    <row r="18" spans="1:9">
      <c r="A18" s="454" t="s">
        <v>12</v>
      </c>
      <c r="B18" s="194">
        <v>0</v>
      </c>
      <c r="C18" s="28">
        <v>0</v>
      </c>
      <c r="D18" s="190">
        <f t="shared" si="3"/>
        <v>0</v>
      </c>
      <c r="E18" s="27">
        <v>0</v>
      </c>
      <c r="F18" s="191">
        <f t="shared" si="4"/>
        <v>0</v>
      </c>
      <c r="G18" s="27">
        <v>0</v>
      </c>
      <c r="H18" s="24">
        <f t="shared" si="5"/>
        <v>0</v>
      </c>
      <c r="I18" s="193">
        <f t="shared" si="6"/>
        <v>0</v>
      </c>
    </row>
    <row r="19" spans="1:9">
      <c r="A19" s="453" t="s">
        <v>205</v>
      </c>
      <c r="B19" s="194">
        <v>0</v>
      </c>
      <c r="C19" s="28">
        <v>0</v>
      </c>
      <c r="D19" s="190">
        <f t="shared" si="3"/>
        <v>0</v>
      </c>
      <c r="E19" s="27">
        <v>0</v>
      </c>
      <c r="F19" s="191">
        <f t="shared" si="4"/>
        <v>0</v>
      </c>
      <c r="G19" s="27">
        <v>0</v>
      </c>
      <c r="H19" s="24">
        <f t="shared" si="5"/>
        <v>0</v>
      </c>
      <c r="I19" s="193">
        <f t="shared" si="6"/>
        <v>0</v>
      </c>
    </row>
    <row r="20" spans="1:9">
      <c r="A20" s="454" t="s">
        <v>13</v>
      </c>
      <c r="B20" s="194">
        <v>0</v>
      </c>
      <c r="C20" s="28">
        <v>0</v>
      </c>
      <c r="D20" s="190">
        <f t="shared" si="3"/>
        <v>0</v>
      </c>
      <c r="E20" s="27">
        <v>0</v>
      </c>
      <c r="F20" s="191">
        <f t="shared" si="4"/>
        <v>0</v>
      </c>
      <c r="G20" s="27">
        <v>0</v>
      </c>
      <c r="H20" s="24">
        <f t="shared" si="5"/>
        <v>0</v>
      </c>
      <c r="I20" s="193">
        <f t="shared" si="6"/>
        <v>0</v>
      </c>
    </row>
    <row r="21" spans="1:9">
      <c r="A21" s="453" t="s">
        <v>207</v>
      </c>
      <c r="B21" s="194">
        <v>0</v>
      </c>
      <c r="C21" s="28">
        <v>0</v>
      </c>
      <c r="D21" s="190">
        <f t="shared" si="3"/>
        <v>0</v>
      </c>
      <c r="E21" s="27">
        <v>0</v>
      </c>
      <c r="F21" s="191">
        <f t="shared" si="4"/>
        <v>0</v>
      </c>
      <c r="G21" s="27">
        <v>0</v>
      </c>
      <c r="H21" s="24">
        <f t="shared" si="5"/>
        <v>0</v>
      </c>
      <c r="I21" s="193">
        <f t="shared" si="6"/>
        <v>0</v>
      </c>
    </row>
    <row r="22" spans="1:9">
      <c r="A22" s="454" t="s">
        <v>14</v>
      </c>
      <c r="B22" s="194">
        <v>0</v>
      </c>
      <c r="C22" s="28">
        <v>0</v>
      </c>
      <c r="D22" s="190">
        <f t="shared" si="3"/>
        <v>0</v>
      </c>
      <c r="E22" s="27">
        <v>0</v>
      </c>
      <c r="F22" s="191">
        <f t="shared" si="4"/>
        <v>0</v>
      </c>
      <c r="G22" s="27">
        <v>0</v>
      </c>
      <c r="H22" s="24">
        <f t="shared" si="5"/>
        <v>0</v>
      </c>
      <c r="I22" s="193">
        <f t="shared" si="6"/>
        <v>0</v>
      </c>
    </row>
    <row r="23" spans="1:9">
      <c r="A23" s="454" t="s">
        <v>15</v>
      </c>
      <c r="B23" s="194">
        <v>0</v>
      </c>
      <c r="C23" s="28">
        <v>0</v>
      </c>
      <c r="D23" s="190">
        <f t="shared" si="3"/>
        <v>0</v>
      </c>
      <c r="E23" s="27">
        <v>0</v>
      </c>
      <c r="F23" s="191">
        <f t="shared" si="4"/>
        <v>0</v>
      </c>
      <c r="G23" s="27">
        <v>0</v>
      </c>
      <c r="H23" s="24">
        <f t="shared" si="5"/>
        <v>0</v>
      </c>
      <c r="I23" s="193">
        <f t="shared" si="6"/>
        <v>0</v>
      </c>
    </row>
    <row r="24" spans="1:9">
      <c r="A24" s="454" t="s">
        <v>16</v>
      </c>
      <c r="B24" s="194">
        <v>0</v>
      </c>
      <c r="C24" s="28">
        <v>0</v>
      </c>
      <c r="D24" s="190">
        <f t="shared" si="3"/>
        <v>0</v>
      </c>
      <c r="E24" s="27">
        <v>0</v>
      </c>
      <c r="F24" s="191">
        <f t="shared" si="4"/>
        <v>0</v>
      </c>
      <c r="G24" s="27">
        <v>0</v>
      </c>
      <c r="H24" s="24">
        <f t="shared" si="5"/>
        <v>0</v>
      </c>
      <c r="I24" s="193">
        <f t="shared" si="6"/>
        <v>0</v>
      </c>
    </row>
    <row r="25" spans="1:9">
      <c r="A25" s="453" t="s">
        <v>208</v>
      </c>
      <c r="B25" s="194">
        <v>0</v>
      </c>
      <c r="C25" s="28">
        <v>0</v>
      </c>
      <c r="D25" s="190">
        <f t="shared" si="3"/>
        <v>0</v>
      </c>
      <c r="E25" s="27">
        <v>0</v>
      </c>
      <c r="F25" s="191">
        <f t="shared" si="4"/>
        <v>0</v>
      </c>
      <c r="G25" s="27">
        <v>0</v>
      </c>
      <c r="H25" s="24">
        <f t="shared" si="5"/>
        <v>0</v>
      </c>
      <c r="I25" s="193">
        <f t="shared" si="6"/>
        <v>0</v>
      </c>
    </row>
    <row r="26" spans="1:9">
      <c r="A26" s="453" t="s">
        <v>209</v>
      </c>
      <c r="B26" s="194">
        <v>0</v>
      </c>
      <c r="C26" s="28">
        <v>0</v>
      </c>
      <c r="D26" s="190">
        <f t="shared" si="3"/>
        <v>0</v>
      </c>
      <c r="E26" s="27">
        <v>0</v>
      </c>
      <c r="F26" s="191">
        <f t="shared" si="4"/>
        <v>0</v>
      </c>
      <c r="G26" s="27">
        <v>0</v>
      </c>
      <c r="H26" s="24">
        <f t="shared" si="5"/>
        <v>0</v>
      </c>
      <c r="I26" s="193">
        <f t="shared" si="6"/>
        <v>0</v>
      </c>
    </row>
    <row r="27" spans="1:9">
      <c r="A27" s="294" t="s">
        <v>210</v>
      </c>
      <c r="B27" s="194">
        <v>0</v>
      </c>
      <c r="C27" s="28">
        <v>0</v>
      </c>
      <c r="D27" s="190">
        <f t="shared" si="3"/>
        <v>0</v>
      </c>
      <c r="E27" s="27">
        <v>0</v>
      </c>
      <c r="F27" s="191">
        <f t="shared" si="4"/>
        <v>0</v>
      </c>
      <c r="G27" s="27">
        <v>0</v>
      </c>
      <c r="H27" s="24">
        <f t="shared" si="5"/>
        <v>0</v>
      </c>
      <c r="I27" s="193">
        <f t="shared" si="6"/>
        <v>0</v>
      </c>
    </row>
    <row r="28" spans="1:9">
      <c r="A28" s="294" t="s">
        <v>211</v>
      </c>
      <c r="B28" s="194">
        <v>0</v>
      </c>
      <c r="C28" s="28">
        <v>0</v>
      </c>
      <c r="D28" s="190">
        <f t="shared" si="3"/>
        <v>0</v>
      </c>
      <c r="E28" s="27">
        <v>0</v>
      </c>
      <c r="F28" s="191">
        <f t="shared" si="4"/>
        <v>0</v>
      </c>
      <c r="G28" s="27">
        <v>0</v>
      </c>
      <c r="H28" s="24">
        <f t="shared" si="5"/>
        <v>0</v>
      </c>
      <c r="I28" s="193">
        <f t="shared" si="6"/>
        <v>0</v>
      </c>
    </row>
    <row r="29" spans="1:9">
      <c r="A29" s="454" t="s">
        <v>212</v>
      </c>
      <c r="B29" s="194">
        <v>0</v>
      </c>
      <c r="C29" s="28">
        <v>0</v>
      </c>
      <c r="D29" s="190">
        <f t="shared" si="3"/>
        <v>0</v>
      </c>
      <c r="E29" s="27">
        <v>0</v>
      </c>
      <c r="F29" s="191">
        <f t="shared" si="4"/>
        <v>0</v>
      </c>
      <c r="G29" s="27">
        <v>0</v>
      </c>
      <c r="H29" s="24">
        <f t="shared" si="5"/>
        <v>0</v>
      </c>
      <c r="I29" s="193">
        <f t="shared" si="6"/>
        <v>0</v>
      </c>
    </row>
    <row r="30" spans="1:9">
      <c r="A30" s="454" t="s">
        <v>213</v>
      </c>
      <c r="B30" s="194">
        <v>0</v>
      </c>
      <c r="C30" s="28">
        <v>0</v>
      </c>
      <c r="D30" s="190">
        <f t="shared" si="3"/>
        <v>0</v>
      </c>
      <c r="E30" s="27">
        <v>0</v>
      </c>
      <c r="F30" s="191">
        <f t="shared" si="4"/>
        <v>0</v>
      </c>
      <c r="G30" s="27">
        <v>0</v>
      </c>
      <c r="H30" s="24">
        <f t="shared" si="5"/>
        <v>0</v>
      </c>
      <c r="I30" s="193">
        <f t="shared" si="6"/>
        <v>0</v>
      </c>
    </row>
    <row r="31" spans="1:9">
      <c r="A31" s="454" t="s">
        <v>17</v>
      </c>
      <c r="B31" s="194">
        <v>0</v>
      </c>
      <c r="C31" s="28">
        <v>0</v>
      </c>
      <c r="D31" s="190">
        <f t="shared" si="3"/>
        <v>0</v>
      </c>
      <c r="E31" s="27">
        <v>0</v>
      </c>
      <c r="F31" s="191">
        <f t="shared" si="4"/>
        <v>0</v>
      </c>
      <c r="G31" s="27">
        <v>0</v>
      </c>
      <c r="H31" s="24">
        <f t="shared" si="5"/>
        <v>0</v>
      </c>
      <c r="I31" s="193">
        <f t="shared" si="6"/>
        <v>0</v>
      </c>
    </row>
    <row r="32" spans="1:9">
      <c r="A32" s="454" t="s">
        <v>18</v>
      </c>
      <c r="B32" s="194">
        <v>0</v>
      </c>
      <c r="C32" s="28">
        <v>0</v>
      </c>
      <c r="D32" s="190">
        <f t="shared" si="3"/>
        <v>0</v>
      </c>
      <c r="E32" s="27">
        <v>0</v>
      </c>
      <c r="F32" s="191">
        <f t="shared" si="4"/>
        <v>0</v>
      </c>
      <c r="G32" s="27">
        <v>0</v>
      </c>
      <c r="H32" s="24">
        <f t="shared" si="5"/>
        <v>0</v>
      </c>
      <c r="I32" s="193">
        <f t="shared" si="6"/>
        <v>0</v>
      </c>
    </row>
    <row r="33" spans="1:9">
      <c r="A33" s="454" t="s">
        <v>214</v>
      </c>
      <c r="B33" s="194">
        <v>0</v>
      </c>
      <c r="C33" s="28">
        <v>0</v>
      </c>
      <c r="D33" s="190">
        <f t="shared" si="3"/>
        <v>0</v>
      </c>
      <c r="E33" s="27">
        <v>0</v>
      </c>
      <c r="F33" s="191">
        <f t="shared" si="4"/>
        <v>0</v>
      </c>
      <c r="G33" s="27">
        <v>0</v>
      </c>
      <c r="H33" s="24">
        <f t="shared" si="5"/>
        <v>0</v>
      </c>
      <c r="I33" s="193">
        <f t="shared" si="6"/>
        <v>0</v>
      </c>
    </row>
    <row r="34" spans="1:9">
      <c r="A34" s="454" t="s">
        <v>215</v>
      </c>
      <c r="B34" s="194">
        <v>0</v>
      </c>
      <c r="C34" s="28">
        <v>0</v>
      </c>
      <c r="D34" s="190">
        <f t="shared" si="3"/>
        <v>0</v>
      </c>
      <c r="E34" s="27">
        <v>0</v>
      </c>
      <c r="F34" s="191">
        <f t="shared" si="4"/>
        <v>0</v>
      </c>
      <c r="G34" s="27">
        <v>0</v>
      </c>
      <c r="H34" s="24">
        <f t="shared" si="5"/>
        <v>0</v>
      </c>
      <c r="I34" s="193">
        <f t="shared" si="6"/>
        <v>0</v>
      </c>
    </row>
    <row r="35" spans="1:9">
      <c r="A35" s="454" t="s">
        <v>216</v>
      </c>
      <c r="B35" s="194">
        <v>0</v>
      </c>
      <c r="C35" s="28">
        <v>0</v>
      </c>
      <c r="D35" s="190">
        <f t="shared" si="3"/>
        <v>0</v>
      </c>
      <c r="E35" s="27">
        <v>0</v>
      </c>
      <c r="F35" s="191">
        <f t="shared" si="4"/>
        <v>0</v>
      </c>
      <c r="G35" s="27">
        <v>0</v>
      </c>
      <c r="H35" s="24">
        <f t="shared" si="5"/>
        <v>0</v>
      </c>
      <c r="I35" s="193">
        <f t="shared" si="6"/>
        <v>0</v>
      </c>
    </row>
    <row r="36" spans="1:9">
      <c r="A36" s="454" t="s">
        <v>382</v>
      </c>
      <c r="B36" s="194">
        <v>0</v>
      </c>
      <c r="C36" s="28">
        <v>0</v>
      </c>
      <c r="D36" s="190">
        <f t="shared" si="3"/>
        <v>0</v>
      </c>
      <c r="E36" s="27">
        <v>0</v>
      </c>
      <c r="F36" s="191">
        <f t="shared" si="4"/>
        <v>0</v>
      </c>
      <c r="G36" s="27">
        <v>0</v>
      </c>
      <c r="H36" s="24">
        <f t="shared" si="5"/>
        <v>0</v>
      </c>
      <c r="I36" s="193">
        <f t="shared" si="6"/>
        <v>0</v>
      </c>
    </row>
    <row r="37" spans="1:9">
      <c r="A37" s="454" t="s">
        <v>218</v>
      </c>
      <c r="B37" s="194">
        <v>0</v>
      </c>
      <c r="C37" s="28">
        <v>0</v>
      </c>
      <c r="D37" s="190">
        <f t="shared" si="3"/>
        <v>0</v>
      </c>
      <c r="E37" s="27">
        <v>0</v>
      </c>
      <c r="F37" s="191">
        <f t="shared" si="4"/>
        <v>0</v>
      </c>
      <c r="G37" s="27">
        <v>0</v>
      </c>
      <c r="H37" s="24">
        <f t="shared" si="5"/>
        <v>0</v>
      </c>
      <c r="I37" s="193">
        <f t="shared" si="6"/>
        <v>0</v>
      </c>
    </row>
    <row r="38" spans="1:9">
      <c r="A38" s="454" t="s">
        <v>219</v>
      </c>
      <c r="B38" s="194">
        <v>0</v>
      </c>
      <c r="C38" s="28">
        <v>0</v>
      </c>
      <c r="D38" s="190">
        <f t="shared" si="3"/>
        <v>0</v>
      </c>
      <c r="E38" s="27">
        <v>0</v>
      </c>
      <c r="F38" s="191">
        <f t="shared" si="4"/>
        <v>0</v>
      </c>
      <c r="G38" s="27">
        <v>0</v>
      </c>
      <c r="H38" s="24">
        <f t="shared" si="5"/>
        <v>0</v>
      </c>
      <c r="I38" s="193">
        <f t="shared" si="6"/>
        <v>0</v>
      </c>
    </row>
    <row r="39" spans="1:9">
      <c r="A39" s="454" t="s">
        <v>19</v>
      </c>
      <c r="B39" s="194">
        <v>0</v>
      </c>
      <c r="C39" s="28">
        <v>0</v>
      </c>
      <c r="D39" s="190">
        <f t="shared" si="3"/>
        <v>0</v>
      </c>
      <c r="E39" s="27">
        <v>0</v>
      </c>
      <c r="F39" s="191">
        <f t="shared" si="4"/>
        <v>0</v>
      </c>
      <c r="G39" s="27">
        <v>0</v>
      </c>
      <c r="H39" s="24">
        <f t="shared" si="5"/>
        <v>0</v>
      </c>
      <c r="I39" s="193">
        <f t="shared" si="6"/>
        <v>0</v>
      </c>
    </row>
    <row r="40" spans="1:9">
      <c r="A40" s="30"/>
      <c r="B40" s="194"/>
      <c r="C40" s="27"/>
      <c r="D40" s="190"/>
      <c r="E40" s="27"/>
      <c r="F40" s="195"/>
      <c r="G40" s="194"/>
      <c r="H40" s="24"/>
      <c r="I40" s="193"/>
    </row>
    <row r="41" spans="1:9" ht="15.6" customHeight="1">
      <c r="A41" s="36" t="s">
        <v>20</v>
      </c>
      <c r="B41" s="196">
        <f>SUM(B42:B45)</f>
        <v>0</v>
      </c>
      <c r="C41" s="33">
        <f>SUM(C42:C45)</f>
        <v>0</v>
      </c>
      <c r="D41" s="190">
        <f t="shared" si="0"/>
        <v>0</v>
      </c>
      <c r="E41" s="33">
        <f>SUM(E42:E45)</f>
        <v>0</v>
      </c>
      <c r="F41" s="191">
        <f>E41/$E$68</f>
        <v>0</v>
      </c>
      <c r="G41" s="196">
        <f>SUM(G42:G45)</f>
        <v>0</v>
      </c>
      <c r="H41" s="24">
        <f t="shared" ref="H41:H42" si="7">G41/$G$68</f>
        <v>0</v>
      </c>
      <c r="I41" s="193">
        <f t="shared" si="1"/>
        <v>0</v>
      </c>
    </row>
    <row r="42" spans="1:9">
      <c r="A42" s="453" t="s">
        <v>220</v>
      </c>
      <c r="B42" s="194">
        <v>0</v>
      </c>
      <c r="C42" s="28">
        <v>0</v>
      </c>
      <c r="D42" s="190">
        <f t="shared" si="0"/>
        <v>0</v>
      </c>
      <c r="E42" s="27">
        <v>0</v>
      </c>
      <c r="F42" s="191">
        <f>E42/$E$68</f>
        <v>0</v>
      </c>
      <c r="G42" s="27">
        <v>0</v>
      </c>
      <c r="H42" s="24">
        <f t="shared" si="7"/>
        <v>0</v>
      </c>
      <c r="I42" s="193">
        <f t="shared" si="1"/>
        <v>0</v>
      </c>
    </row>
    <row r="43" spans="1:9">
      <c r="A43" s="453" t="s">
        <v>221</v>
      </c>
      <c r="B43" s="194">
        <v>0</v>
      </c>
      <c r="C43" s="28">
        <v>0</v>
      </c>
      <c r="D43" s="190">
        <f t="shared" ref="D43:D45" si="8">IF(B43,C43/B43,0)</f>
        <v>0</v>
      </c>
      <c r="E43" s="27">
        <v>0</v>
      </c>
      <c r="F43" s="191">
        <f t="shared" ref="F43:F45" si="9">E43/$E$68</f>
        <v>0</v>
      </c>
      <c r="G43" s="27">
        <v>0</v>
      </c>
      <c r="H43" s="24">
        <f t="shared" ref="H43:H45" si="10">G43/$G$68</f>
        <v>0</v>
      </c>
      <c r="I43" s="193">
        <f t="shared" ref="I43:I45" si="11">IF(E43,G43/E43,0)</f>
        <v>0</v>
      </c>
    </row>
    <row r="44" spans="1:9">
      <c r="A44" s="453" t="s">
        <v>222</v>
      </c>
      <c r="B44" s="194">
        <v>0</v>
      </c>
      <c r="C44" s="28">
        <v>0</v>
      </c>
      <c r="D44" s="190">
        <f t="shared" si="8"/>
        <v>0</v>
      </c>
      <c r="E44" s="27">
        <v>0</v>
      </c>
      <c r="F44" s="191">
        <f t="shared" si="9"/>
        <v>0</v>
      </c>
      <c r="G44" s="27">
        <v>0</v>
      </c>
      <c r="H44" s="24">
        <f t="shared" si="10"/>
        <v>0</v>
      </c>
      <c r="I44" s="193">
        <f t="shared" si="11"/>
        <v>0</v>
      </c>
    </row>
    <row r="45" spans="1:9">
      <c r="A45" s="30" t="s">
        <v>21</v>
      </c>
      <c r="B45" s="194">
        <v>0</v>
      </c>
      <c r="C45" s="28">
        <v>0</v>
      </c>
      <c r="D45" s="190">
        <f t="shared" si="8"/>
        <v>0</v>
      </c>
      <c r="E45" s="27">
        <v>0</v>
      </c>
      <c r="F45" s="191">
        <f t="shared" si="9"/>
        <v>0</v>
      </c>
      <c r="G45" s="27">
        <v>0</v>
      </c>
      <c r="H45" s="24">
        <f t="shared" si="10"/>
        <v>0</v>
      </c>
      <c r="I45" s="193">
        <f t="shared" si="11"/>
        <v>0</v>
      </c>
    </row>
    <row r="46" spans="1:9" ht="16.899999999999999" customHeight="1">
      <c r="A46" s="30"/>
      <c r="B46" s="194"/>
      <c r="C46" s="27"/>
      <c r="D46" s="190"/>
      <c r="E46" s="27"/>
      <c r="F46" s="195"/>
      <c r="G46" s="194"/>
      <c r="H46" s="24"/>
      <c r="I46" s="193"/>
    </row>
    <row r="47" spans="1:9">
      <c r="A47" s="36" t="s">
        <v>22</v>
      </c>
      <c r="B47" s="196">
        <f>SUM(B48:B66)</f>
        <v>382</v>
      </c>
      <c r="C47" s="33">
        <f>SUM(C48:C66)</f>
        <v>373620</v>
      </c>
      <c r="D47" s="190">
        <f t="shared" si="0"/>
        <v>978.06282722513095</v>
      </c>
      <c r="E47" s="33">
        <f>SUM(E48:E66)</f>
        <v>3045</v>
      </c>
      <c r="F47" s="191">
        <f>E47/$E$68</f>
        <v>0.97346547314578002</v>
      </c>
      <c r="G47" s="196">
        <f>SUM(G48:G66)</f>
        <v>2267533</v>
      </c>
      <c r="H47" s="24">
        <f>G47/$G$68</f>
        <v>0.97610587850402919</v>
      </c>
      <c r="I47" s="193">
        <f t="shared" si="1"/>
        <v>744.67422003284071</v>
      </c>
    </row>
    <row r="48" spans="1:9">
      <c r="A48" s="485" t="s">
        <v>163</v>
      </c>
      <c r="B48" s="194">
        <v>0</v>
      </c>
      <c r="C48" s="194">
        <v>0</v>
      </c>
      <c r="D48" s="190">
        <f t="shared" si="0"/>
        <v>0</v>
      </c>
      <c r="E48" s="27">
        <v>0</v>
      </c>
      <c r="F48" s="191">
        <f t="shared" ref="F48" si="12">E48/$E$68</f>
        <v>0</v>
      </c>
      <c r="G48" s="27">
        <v>0</v>
      </c>
      <c r="H48" s="24">
        <f>G48/$G$68</f>
        <v>0</v>
      </c>
      <c r="I48" s="193">
        <f t="shared" si="1"/>
        <v>0</v>
      </c>
    </row>
    <row r="49" spans="1:10">
      <c r="A49" s="453" t="s">
        <v>223</v>
      </c>
      <c r="B49" s="194">
        <v>0</v>
      </c>
      <c r="C49" s="27">
        <v>0</v>
      </c>
      <c r="D49" s="190">
        <f t="shared" ref="D49:D66" si="13">IF(B49,C49/B49,0)</f>
        <v>0</v>
      </c>
      <c r="E49" s="27">
        <f>VLOOKUP(A49,[11]進出口值表查詢結果!$A$2:$C$14,3,0)</f>
        <v>725</v>
      </c>
      <c r="F49" s="191">
        <f t="shared" ref="F49:F66" si="14">E49/$E$68</f>
        <v>0.23177749360613811</v>
      </c>
      <c r="G49" s="27">
        <f>VLOOKUP(A49,[11]進出口值表查詢結果!$A$2:$C$14,2,0)</f>
        <v>552837</v>
      </c>
      <c r="H49" s="24">
        <f t="shared" ref="H49:H66" si="15">G49/$G$68</f>
        <v>0.23797997451615124</v>
      </c>
      <c r="I49" s="193">
        <f t="shared" ref="I49:I66" si="16">IF(E49,G49/E49,0)</f>
        <v>762.53379310344826</v>
      </c>
    </row>
    <row r="50" spans="1:10">
      <c r="A50" s="291" t="s">
        <v>224</v>
      </c>
      <c r="B50" s="194">
        <v>0</v>
      </c>
      <c r="C50" s="27">
        <v>0</v>
      </c>
      <c r="D50" s="190">
        <f t="shared" si="13"/>
        <v>0</v>
      </c>
      <c r="E50" s="27">
        <v>0</v>
      </c>
      <c r="F50" s="191">
        <f t="shared" si="14"/>
        <v>0</v>
      </c>
      <c r="G50" s="27">
        <v>0</v>
      </c>
      <c r="H50" s="24">
        <f t="shared" si="15"/>
        <v>0</v>
      </c>
      <c r="I50" s="193">
        <f t="shared" si="16"/>
        <v>0</v>
      </c>
      <c r="J50" s="486"/>
    </row>
    <row r="51" spans="1:10">
      <c r="A51" s="453" t="s">
        <v>225</v>
      </c>
      <c r="B51" s="194">
        <v>0</v>
      </c>
      <c r="C51" s="27">
        <v>0</v>
      </c>
      <c r="D51" s="190">
        <f t="shared" si="13"/>
        <v>0</v>
      </c>
      <c r="E51" s="27">
        <v>0</v>
      </c>
      <c r="F51" s="191">
        <f t="shared" si="14"/>
        <v>0</v>
      </c>
      <c r="G51" s="27">
        <v>0</v>
      </c>
      <c r="H51" s="24">
        <f t="shared" si="15"/>
        <v>0</v>
      </c>
      <c r="I51" s="193">
        <f t="shared" si="16"/>
        <v>0</v>
      </c>
    </row>
    <row r="52" spans="1:10">
      <c r="A52" s="454" t="s">
        <v>23</v>
      </c>
      <c r="B52" s="194">
        <v>0</v>
      </c>
      <c r="C52" s="27">
        <v>0</v>
      </c>
      <c r="D52" s="190">
        <f t="shared" si="13"/>
        <v>0</v>
      </c>
      <c r="E52" s="27">
        <v>0</v>
      </c>
      <c r="F52" s="191">
        <f t="shared" si="14"/>
        <v>0</v>
      </c>
      <c r="G52" s="27">
        <v>0</v>
      </c>
      <c r="H52" s="24">
        <f t="shared" si="15"/>
        <v>0</v>
      </c>
      <c r="I52" s="193">
        <f t="shared" si="16"/>
        <v>0</v>
      </c>
    </row>
    <row r="53" spans="1:10">
      <c r="A53" s="453" t="s">
        <v>226</v>
      </c>
      <c r="B53" s="194">
        <v>0</v>
      </c>
      <c r="C53" s="27">
        <v>0</v>
      </c>
      <c r="D53" s="190">
        <f t="shared" si="13"/>
        <v>0</v>
      </c>
      <c r="E53" s="27">
        <v>0</v>
      </c>
      <c r="F53" s="191">
        <f t="shared" si="14"/>
        <v>0</v>
      </c>
      <c r="G53" s="27">
        <v>0</v>
      </c>
      <c r="H53" s="24">
        <f t="shared" si="15"/>
        <v>0</v>
      </c>
      <c r="I53" s="193">
        <f t="shared" si="16"/>
        <v>0</v>
      </c>
    </row>
    <row r="54" spans="1:10">
      <c r="A54" s="454" t="s">
        <v>227</v>
      </c>
      <c r="B54" s="194">
        <v>0</v>
      </c>
      <c r="C54" s="27">
        <v>0</v>
      </c>
      <c r="D54" s="190">
        <f t="shared" si="13"/>
        <v>0</v>
      </c>
      <c r="E54" s="27">
        <f>VLOOKUP(A54,[11]進出口值表查詢結果!$A$2:$C$14,3,0)</f>
        <v>31</v>
      </c>
      <c r="F54" s="191">
        <f t="shared" si="14"/>
        <v>9.9104859335038369E-3</v>
      </c>
      <c r="G54" s="27">
        <f>VLOOKUP(A54,[11]進出口值表查詢結果!$A$2:$C$14,2,0)</f>
        <v>14557</v>
      </c>
      <c r="H54" s="24">
        <f t="shared" si="15"/>
        <v>6.2663578758867687E-3</v>
      </c>
      <c r="I54" s="193">
        <f t="shared" si="16"/>
        <v>469.58064516129031</v>
      </c>
    </row>
    <row r="55" spans="1:10">
      <c r="A55" s="454" t="s">
        <v>24</v>
      </c>
      <c r="B55" s="194">
        <v>0</v>
      </c>
      <c r="C55" s="27">
        <v>0</v>
      </c>
      <c r="D55" s="190">
        <f t="shared" si="13"/>
        <v>0</v>
      </c>
      <c r="E55" s="27">
        <v>0</v>
      </c>
      <c r="F55" s="191">
        <f t="shared" si="14"/>
        <v>0</v>
      </c>
      <c r="G55" s="27">
        <v>0</v>
      </c>
      <c r="H55" s="24">
        <f t="shared" si="15"/>
        <v>0</v>
      </c>
      <c r="I55" s="193">
        <f t="shared" si="16"/>
        <v>0</v>
      </c>
    </row>
    <row r="56" spans="1:10">
      <c r="A56" s="454" t="s">
        <v>228</v>
      </c>
      <c r="B56" s="194">
        <f>VLOOKUP(A56,[10]進出口值表查詢結果!$A$2:$C$10,3,0)</f>
        <v>359</v>
      </c>
      <c r="C56" s="194">
        <f>VLOOKUP(A56,[10]進出口值表查詢結果!$A$2:$C$10,2,0)</f>
        <v>352365</v>
      </c>
      <c r="D56" s="190">
        <f t="shared" si="13"/>
        <v>981.51810584958218</v>
      </c>
      <c r="E56" s="27">
        <f>VLOOKUP(A56,[11]進出口值表查詢結果!$A$2:$C$14,3,0)</f>
        <v>578</v>
      </c>
      <c r="F56" s="191">
        <f t="shared" si="14"/>
        <v>0.18478260869565216</v>
      </c>
      <c r="G56" s="27">
        <f>VLOOKUP(A56,[11]進出口值表查詢結果!$A$2:$C$14,2,0)</f>
        <v>597090</v>
      </c>
      <c r="H56" s="24">
        <f t="shared" si="15"/>
        <v>0.25702958192712999</v>
      </c>
      <c r="I56" s="193">
        <f t="shared" si="16"/>
        <v>1033.0276816608996</v>
      </c>
    </row>
    <row r="57" spans="1:10">
      <c r="A57" s="456" t="s">
        <v>456</v>
      </c>
      <c r="B57" s="194">
        <v>0</v>
      </c>
      <c r="C57" s="27">
        <v>0</v>
      </c>
      <c r="D57" s="190">
        <f t="shared" si="13"/>
        <v>0</v>
      </c>
      <c r="E57" s="27">
        <f>VLOOKUP(A57,[11]進出口值表查詢結果!$A$2:$C$14,3,0)</f>
        <v>1150</v>
      </c>
      <c r="F57" s="191">
        <f t="shared" si="14"/>
        <v>0.36764705882352944</v>
      </c>
      <c r="G57" s="27">
        <f>VLOOKUP(A57,[11]進出口值表查詢結果!$A$2:$C$14,2,0)</f>
        <v>789541</v>
      </c>
      <c r="H57" s="24">
        <f t="shared" si="15"/>
        <v>0.33987404435567187</v>
      </c>
      <c r="I57" s="193">
        <f t="shared" si="16"/>
        <v>686.55739130434779</v>
      </c>
    </row>
    <row r="58" spans="1:10">
      <c r="A58" s="294" t="s">
        <v>383</v>
      </c>
      <c r="B58" s="194">
        <f>VLOOKUP(A58,[10]進出口值表查詢結果!$A$2:$C$10,3,0)</f>
        <v>23</v>
      </c>
      <c r="C58" s="194">
        <f>VLOOKUP(A58,[10]進出口值表查詢結果!$A$2:$C$10,2,0)</f>
        <v>21255</v>
      </c>
      <c r="D58" s="190">
        <f t="shared" si="13"/>
        <v>924.13043478260875</v>
      </c>
      <c r="E58" s="27">
        <f>VLOOKUP(A58,[11]進出口值表查詢結果!$A$2:$C$14,3,0)</f>
        <v>136</v>
      </c>
      <c r="F58" s="191">
        <f t="shared" si="14"/>
        <v>4.3478260869565216E-2</v>
      </c>
      <c r="G58" s="27">
        <f>VLOOKUP(A58,[11]進出口值表查詢結果!$A$2:$C$14,2,0)</f>
        <v>137217</v>
      </c>
      <c r="H58" s="24">
        <f t="shared" si="15"/>
        <v>5.9067859356705006E-2</v>
      </c>
      <c r="I58" s="193">
        <f t="shared" si="16"/>
        <v>1008.9485294117648</v>
      </c>
    </row>
    <row r="59" spans="1:10">
      <c r="A59" s="454" t="s">
        <v>25</v>
      </c>
      <c r="B59" s="194">
        <v>0</v>
      </c>
      <c r="C59" s="27">
        <v>0</v>
      </c>
      <c r="D59" s="190">
        <f t="shared" si="13"/>
        <v>0</v>
      </c>
      <c r="E59" s="27">
        <f>VLOOKUP(A59,[11]進出口值表查詢結果!$A$2:$C$14,3,0)</f>
        <v>420</v>
      </c>
      <c r="F59" s="191">
        <f t="shared" si="14"/>
        <v>0.13427109974424553</v>
      </c>
      <c r="G59" s="27">
        <f>VLOOKUP(A59,[11]進出口值表查詢結果!$A$2:$C$14,2,0)</f>
        <v>176030</v>
      </c>
      <c r="H59" s="24">
        <f t="shared" si="15"/>
        <v>7.5775707693367306E-2</v>
      </c>
      <c r="I59" s="193">
        <f t="shared" si="16"/>
        <v>419.11904761904759</v>
      </c>
    </row>
    <row r="60" spans="1:10">
      <c r="A60" s="454" t="s">
        <v>26</v>
      </c>
      <c r="B60" s="194">
        <v>0</v>
      </c>
      <c r="C60" s="27">
        <v>0</v>
      </c>
      <c r="D60" s="190">
        <f t="shared" si="13"/>
        <v>0</v>
      </c>
      <c r="E60" s="27">
        <v>0</v>
      </c>
      <c r="F60" s="191">
        <f t="shared" si="14"/>
        <v>0</v>
      </c>
      <c r="G60" s="27">
        <v>0</v>
      </c>
      <c r="H60" s="24">
        <f t="shared" si="15"/>
        <v>0</v>
      </c>
      <c r="I60" s="193">
        <f t="shared" si="16"/>
        <v>0</v>
      </c>
    </row>
    <row r="61" spans="1:10">
      <c r="A61" s="454" t="s">
        <v>27</v>
      </c>
      <c r="B61" s="194">
        <v>0</v>
      </c>
      <c r="C61" s="27">
        <v>0</v>
      </c>
      <c r="D61" s="190">
        <f t="shared" si="13"/>
        <v>0</v>
      </c>
      <c r="E61" s="27">
        <v>0</v>
      </c>
      <c r="F61" s="191">
        <f t="shared" si="14"/>
        <v>0</v>
      </c>
      <c r="G61" s="27">
        <v>0</v>
      </c>
      <c r="H61" s="24">
        <f t="shared" si="15"/>
        <v>0</v>
      </c>
      <c r="I61" s="193">
        <f t="shared" si="16"/>
        <v>0</v>
      </c>
    </row>
    <row r="62" spans="1:10">
      <c r="A62" s="294" t="s">
        <v>229</v>
      </c>
      <c r="B62" s="194">
        <v>0</v>
      </c>
      <c r="C62" s="27">
        <v>0</v>
      </c>
      <c r="D62" s="190">
        <f t="shared" si="13"/>
        <v>0</v>
      </c>
      <c r="E62" s="27">
        <v>0</v>
      </c>
      <c r="F62" s="191">
        <f t="shared" si="14"/>
        <v>0</v>
      </c>
      <c r="G62" s="27">
        <v>0</v>
      </c>
      <c r="H62" s="24">
        <f t="shared" si="15"/>
        <v>0</v>
      </c>
      <c r="I62" s="193">
        <f t="shared" si="16"/>
        <v>0</v>
      </c>
    </row>
    <row r="63" spans="1:10">
      <c r="A63" s="454" t="s">
        <v>28</v>
      </c>
      <c r="B63" s="194">
        <v>0</v>
      </c>
      <c r="C63" s="27">
        <v>0</v>
      </c>
      <c r="D63" s="190">
        <f t="shared" si="13"/>
        <v>0</v>
      </c>
      <c r="E63" s="27">
        <v>0</v>
      </c>
      <c r="F63" s="191">
        <f t="shared" si="14"/>
        <v>0</v>
      </c>
      <c r="G63" s="27">
        <v>0</v>
      </c>
      <c r="H63" s="24">
        <f t="shared" si="15"/>
        <v>0</v>
      </c>
      <c r="I63" s="193">
        <f t="shared" si="16"/>
        <v>0</v>
      </c>
    </row>
    <row r="64" spans="1:10" ht="15.75" customHeight="1">
      <c r="A64" s="294" t="s">
        <v>230</v>
      </c>
      <c r="B64" s="194">
        <v>0</v>
      </c>
      <c r="C64" s="27">
        <v>0</v>
      </c>
      <c r="D64" s="190">
        <f t="shared" si="13"/>
        <v>0</v>
      </c>
      <c r="E64" s="27">
        <v>0</v>
      </c>
      <c r="F64" s="191">
        <f t="shared" si="14"/>
        <v>0</v>
      </c>
      <c r="G64" s="27">
        <v>0</v>
      </c>
      <c r="H64" s="24">
        <f t="shared" si="15"/>
        <v>0</v>
      </c>
      <c r="I64" s="193">
        <f t="shared" si="16"/>
        <v>0</v>
      </c>
    </row>
    <row r="65" spans="1:9">
      <c r="A65" s="454" t="s">
        <v>29</v>
      </c>
      <c r="B65" s="194">
        <v>0</v>
      </c>
      <c r="C65" s="27">
        <v>0</v>
      </c>
      <c r="D65" s="190">
        <f t="shared" si="13"/>
        <v>0</v>
      </c>
      <c r="E65" s="27">
        <v>0</v>
      </c>
      <c r="F65" s="191">
        <f t="shared" si="14"/>
        <v>0</v>
      </c>
      <c r="G65" s="27">
        <v>0</v>
      </c>
      <c r="H65" s="24">
        <f t="shared" si="15"/>
        <v>0</v>
      </c>
      <c r="I65" s="193">
        <f t="shared" si="16"/>
        <v>0</v>
      </c>
    </row>
    <row r="66" spans="1:9">
      <c r="A66" s="294" t="s">
        <v>231</v>
      </c>
      <c r="B66" s="194">
        <v>0</v>
      </c>
      <c r="C66" s="27">
        <v>0</v>
      </c>
      <c r="D66" s="190">
        <f t="shared" si="13"/>
        <v>0</v>
      </c>
      <c r="E66" s="27">
        <f>VLOOKUP(A66,[11]進出口值表查詢結果!$A$2:$C$14,3,0)</f>
        <v>5</v>
      </c>
      <c r="F66" s="191">
        <f t="shared" si="14"/>
        <v>1.59846547314578E-3</v>
      </c>
      <c r="G66" s="27">
        <f>VLOOKUP(A66,[11]進出口值表查詢結果!$A$2:$C$14,2,0)</f>
        <v>261</v>
      </c>
      <c r="H66" s="24">
        <f t="shared" si="15"/>
        <v>1.1235277911701908E-4</v>
      </c>
      <c r="I66" s="193">
        <f t="shared" si="16"/>
        <v>52.2</v>
      </c>
    </row>
    <row r="67" spans="1:9">
      <c r="A67" s="30" t="s">
        <v>30</v>
      </c>
      <c r="B67" s="194">
        <f>B68-B7-B12-B41-B47</f>
        <v>0</v>
      </c>
      <c r="C67" s="27">
        <f>C68-C47-C41-C12-C7</f>
        <v>0</v>
      </c>
      <c r="D67" s="190">
        <f t="shared" si="0"/>
        <v>0</v>
      </c>
      <c r="E67" s="27">
        <f>E68-E47-E41-E12-E7</f>
        <v>4</v>
      </c>
      <c r="F67" s="191">
        <f t="shared" ref="F67:F68" si="17">E67/$E$68</f>
        <v>1.2787723785166241E-3</v>
      </c>
      <c r="G67" s="194">
        <f>G68-G47-G41-G12-G7</f>
        <v>1316</v>
      </c>
      <c r="H67" s="24">
        <f t="shared" ref="H67:H68" si="18">G67/$G$68</f>
        <v>5.6649907018389693E-4</v>
      </c>
      <c r="I67" s="193">
        <f t="shared" si="1"/>
        <v>329</v>
      </c>
    </row>
    <row r="68" spans="1:9">
      <c r="A68" s="32" t="s">
        <v>401</v>
      </c>
      <c r="B68" s="194">
        <f>VLOOKUP(A68,[10]進出口值表查詢結果!$A$2:$C$10,3,0)</f>
        <v>413</v>
      </c>
      <c r="C68" s="194">
        <f>VLOOKUP(A68,[10]進出口值表查詢結果!$A$2:$C$10,2,0)</f>
        <v>387680</v>
      </c>
      <c r="D68" s="190">
        <f t="shared" ref="D68" si="19">C68/B68</f>
        <v>938.69249394673125</v>
      </c>
      <c r="E68" s="27">
        <f>VLOOKUP(A68,[11]進出口值表查詢結果!$A$2:$C$14,3,0)</f>
        <v>3128</v>
      </c>
      <c r="F68" s="191">
        <f t="shared" si="17"/>
        <v>1</v>
      </c>
      <c r="G68" s="27">
        <f>VLOOKUP(A68,[11]進出口值表查詢結果!$A$2:$C$14,2,0)</f>
        <v>2323040</v>
      </c>
      <c r="H68" s="24">
        <f t="shared" si="18"/>
        <v>1</v>
      </c>
      <c r="I68" s="193">
        <f t="shared" ref="I68" si="20">G68/E68</f>
        <v>742.6598465473146</v>
      </c>
    </row>
    <row r="69" spans="1:9" ht="6.75" customHeight="1">
      <c r="A69" s="38"/>
      <c r="B69" s="197"/>
      <c r="C69" s="39"/>
      <c r="D69" s="198"/>
      <c r="E69" s="39"/>
      <c r="F69" s="199"/>
      <c r="G69" s="197"/>
      <c r="H69" s="41"/>
      <c r="I69" s="198"/>
    </row>
    <row r="70" spans="1:9">
      <c r="A70" s="55" t="s">
        <v>57</v>
      </c>
      <c r="B70" s="200"/>
      <c r="C70" s="39"/>
      <c r="D70" s="200"/>
      <c r="E70" s="13"/>
      <c r="F70" s="200"/>
      <c r="G70" s="200"/>
      <c r="H70" s="13"/>
      <c r="I70" s="200"/>
    </row>
    <row r="71" spans="1:9" s="13" customFormat="1">
      <c r="A71" s="5"/>
      <c r="B71" s="96"/>
      <c r="C71" s="39"/>
      <c r="D71" s="96"/>
      <c r="E71" s="5"/>
      <c r="F71" s="96"/>
      <c r="G71" s="96"/>
      <c r="H71" s="5"/>
      <c r="I71" s="96"/>
    </row>
    <row r="72" spans="1:9">
      <c r="C72" s="39"/>
    </row>
  </sheetData>
  <mergeCells count="1">
    <mergeCell ref="A1:I1"/>
  </mergeCells>
  <phoneticPr fontId="3" type="noConversion"/>
  <pageMargins left="0.70866141732283472" right="0.51181102362204722" top="0.35433070866141736" bottom="0.15748031496062992" header="0.31496062992125984" footer="0.31496062992125984"/>
  <pageSetup paperSize="9" scale="71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70"/>
  <sheetViews>
    <sheetView zoomScaleNormal="100" workbookViewId="0">
      <selection activeCell="A2" sqref="A2"/>
    </sheetView>
  </sheetViews>
  <sheetFormatPr defaultRowHeight="16.5"/>
  <cols>
    <col min="1" max="1" width="18.5" style="5" customWidth="1"/>
    <col min="2" max="2" width="12.125" style="5" customWidth="1"/>
    <col min="3" max="3" width="12.125" style="59" customWidth="1"/>
    <col min="4" max="4" width="13.75" style="60" customWidth="1"/>
    <col min="5" max="5" width="13.5" style="529" customWidth="1"/>
    <col min="6" max="6" width="15.125" style="59" customWidth="1"/>
    <col min="7" max="7" width="12.25" style="60" customWidth="1"/>
    <col min="8" max="9" width="14.625" style="5" bestFit="1" customWidth="1"/>
    <col min="10" max="10" width="12.5" style="5" customWidth="1"/>
    <col min="11" max="256" width="8.875" style="5"/>
    <col min="257" max="257" width="18.5" style="5" customWidth="1"/>
    <col min="258" max="259" width="12.125" style="5" customWidth="1"/>
    <col min="260" max="260" width="13.75" style="5" customWidth="1"/>
    <col min="261" max="261" width="13.5" style="5" customWidth="1"/>
    <col min="262" max="262" width="15.125" style="5" customWidth="1"/>
    <col min="263" max="263" width="12.25" style="5" customWidth="1"/>
    <col min="264" max="264" width="11.125" style="5" customWidth="1"/>
    <col min="265" max="265" width="10.25" style="5" customWidth="1"/>
    <col min="266" max="266" width="10.5" style="5" bestFit="1" customWidth="1"/>
    <col min="267" max="512" width="8.875" style="5"/>
    <col min="513" max="513" width="18.5" style="5" customWidth="1"/>
    <col min="514" max="515" width="12.125" style="5" customWidth="1"/>
    <col min="516" max="516" width="13.75" style="5" customWidth="1"/>
    <col min="517" max="517" width="13.5" style="5" customWidth="1"/>
    <col min="518" max="518" width="15.125" style="5" customWidth="1"/>
    <col min="519" max="519" width="12.25" style="5" customWidth="1"/>
    <col min="520" max="520" width="11.125" style="5" customWidth="1"/>
    <col min="521" max="521" width="10.25" style="5" customWidth="1"/>
    <col min="522" max="522" width="10.5" style="5" bestFit="1" customWidth="1"/>
    <col min="523" max="768" width="8.875" style="5"/>
    <col min="769" max="769" width="18.5" style="5" customWidth="1"/>
    <col min="770" max="771" width="12.125" style="5" customWidth="1"/>
    <col min="772" max="772" width="13.75" style="5" customWidth="1"/>
    <col min="773" max="773" width="13.5" style="5" customWidth="1"/>
    <col min="774" max="774" width="15.125" style="5" customWidth="1"/>
    <col min="775" max="775" width="12.25" style="5" customWidth="1"/>
    <col min="776" max="776" width="11.125" style="5" customWidth="1"/>
    <col min="777" max="777" width="10.25" style="5" customWidth="1"/>
    <col min="778" max="778" width="10.5" style="5" bestFit="1" customWidth="1"/>
    <col min="779" max="1024" width="8.875" style="5"/>
    <col min="1025" max="1025" width="18.5" style="5" customWidth="1"/>
    <col min="1026" max="1027" width="12.125" style="5" customWidth="1"/>
    <col min="1028" max="1028" width="13.75" style="5" customWidth="1"/>
    <col min="1029" max="1029" width="13.5" style="5" customWidth="1"/>
    <col min="1030" max="1030" width="15.125" style="5" customWidth="1"/>
    <col min="1031" max="1031" width="12.25" style="5" customWidth="1"/>
    <col min="1032" max="1032" width="11.125" style="5" customWidth="1"/>
    <col min="1033" max="1033" width="10.25" style="5" customWidth="1"/>
    <col min="1034" max="1034" width="10.5" style="5" bestFit="1" customWidth="1"/>
    <col min="1035" max="1280" width="8.875" style="5"/>
    <col min="1281" max="1281" width="18.5" style="5" customWidth="1"/>
    <col min="1282" max="1283" width="12.125" style="5" customWidth="1"/>
    <col min="1284" max="1284" width="13.75" style="5" customWidth="1"/>
    <col min="1285" max="1285" width="13.5" style="5" customWidth="1"/>
    <col min="1286" max="1286" width="15.125" style="5" customWidth="1"/>
    <col min="1287" max="1287" width="12.25" style="5" customWidth="1"/>
    <col min="1288" max="1288" width="11.125" style="5" customWidth="1"/>
    <col min="1289" max="1289" width="10.25" style="5" customWidth="1"/>
    <col min="1290" max="1290" width="10.5" style="5" bestFit="1" customWidth="1"/>
    <col min="1291" max="1536" width="8.875" style="5"/>
    <col min="1537" max="1537" width="18.5" style="5" customWidth="1"/>
    <col min="1538" max="1539" width="12.125" style="5" customWidth="1"/>
    <col min="1540" max="1540" width="13.75" style="5" customWidth="1"/>
    <col min="1541" max="1541" width="13.5" style="5" customWidth="1"/>
    <col min="1542" max="1542" width="15.125" style="5" customWidth="1"/>
    <col min="1543" max="1543" width="12.25" style="5" customWidth="1"/>
    <col min="1544" max="1544" width="11.125" style="5" customWidth="1"/>
    <col min="1545" max="1545" width="10.25" style="5" customWidth="1"/>
    <col min="1546" max="1546" width="10.5" style="5" bestFit="1" customWidth="1"/>
    <col min="1547" max="1792" width="8.875" style="5"/>
    <col min="1793" max="1793" width="18.5" style="5" customWidth="1"/>
    <col min="1794" max="1795" width="12.125" style="5" customWidth="1"/>
    <col min="1796" max="1796" width="13.75" style="5" customWidth="1"/>
    <col min="1797" max="1797" width="13.5" style="5" customWidth="1"/>
    <col min="1798" max="1798" width="15.125" style="5" customWidth="1"/>
    <col min="1799" max="1799" width="12.25" style="5" customWidth="1"/>
    <col min="1800" max="1800" width="11.125" style="5" customWidth="1"/>
    <col min="1801" max="1801" width="10.25" style="5" customWidth="1"/>
    <col min="1802" max="1802" width="10.5" style="5" bestFit="1" customWidth="1"/>
    <col min="1803" max="2048" width="8.875" style="5"/>
    <col min="2049" max="2049" width="18.5" style="5" customWidth="1"/>
    <col min="2050" max="2051" width="12.125" style="5" customWidth="1"/>
    <col min="2052" max="2052" width="13.75" style="5" customWidth="1"/>
    <col min="2053" max="2053" width="13.5" style="5" customWidth="1"/>
    <col min="2054" max="2054" width="15.125" style="5" customWidth="1"/>
    <col min="2055" max="2055" width="12.25" style="5" customWidth="1"/>
    <col min="2056" max="2056" width="11.125" style="5" customWidth="1"/>
    <col min="2057" max="2057" width="10.25" style="5" customWidth="1"/>
    <col min="2058" max="2058" width="10.5" style="5" bestFit="1" customWidth="1"/>
    <col min="2059" max="2304" width="8.875" style="5"/>
    <col min="2305" max="2305" width="18.5" style="5" customWidth="1"/>
    <col min="2306" max="2307" width="12.125" style="5" customWidth="1"/>
    <col min="2308" max="2308" width="13.75" style="5" customWidth="1"/>
    <col min="2309" max="2309" width="13.5" style="5" customWidth="1"/>
    <col min="2310" max="2310" width="15.125" style="5" customWidth="1"/>
    <col min="2311" max="2311" width="12.25" style="5" customWidth="1"/>
    <col min="2312" max="2312" width="11.125" style="5" customWidth="1"/>
    <col min="2313" max="2313" width="10.25" style="5" customWidth="1"/>
    <col min="2314" max="2314" width="10.5" style="5" bestFit="1" customWidth="1"/>
    <col min="2315" max="2560" width="8.875" style="5"/>
    <col min="2561" max="2561" width="18.5" style="5" customWidth="1"/>
    <col min="2562" max="2563" width="12.125" style="5" customWidth="1"/>
    <col min="2564" max="2564" width="13.75" style="5" customWidth="1"/>
    <col min="2565" max="2565" width="13.5" style="5" customWidth="1"/>
    <col min="2566" max="2566" width="15.125" style="5" customWidth="1"/>
    <col min="2567" max="2567" width="12.25" style="5" customWidth="1"/>
    <col min="2568" max="2568" width="11.125" style="5" customWidth="1"/>
    <col min="2569" max="2569" width="10.25" style="5" customWidth="1"/>
    <col min="2570" max="2570" width="10.5" style="5" bestFit="1" customWidth="1"/>
    <col min="2571" max="2816" width="8.875" style="5"/>
    <col min="2817" max="2817" width="18.5" style="5" customWidth="1"/>
    <col min="2818" max="2819" width="12.125" style="5" customWidth="1"/>
    <col min="2820" max="2820" width="13.75" style="5" customWidth="1"/>
    <col min="2821" max="2821" width="13.5" style="5" customWidth="1"/>
    <col min="2822" max="2822" width="15.125" style="5" customWidth="1"/>
    <col min="2823" max="2823" width="12.25" style="5" customWidth="1"/>
    <col min="2824" max="2824" width="11.125" style="5" customWidth="1"/>
    <col min="2825" max="2825" width="10.25" style="5" customWidth="1"/>
    <col min="2826" max="2826" width="10.5" style="5" bestFit="1" customWidth="1"/>
    <col min="2827" max="3072" width="8.875" style="5"/>
    <col min="3073" max="3073" width="18.5" style="5" customWidth="1"/>
    <col min="3074" max="3075" width="12.125" style="5" customWidth="1"/>
    <col min="3076" max="3076" width="13.75" style="5" customWidth="1"/>
    <col min="3077" max="3077" width="13.5" style="5" customWidth="1"/>
    <col min="3078" max="3078" width="15.125" style="5" customWidth="1"/>
    <col min="3079" max="3079" width="12.25" style="5" customWidth="1"/>
    <col min="3080" max="3080" width="11.125" style="5" customWidth="1"/>
    <col min="3081" max="3081" width="10.25" style="5" customWidth="1"/>
    <col min="3082" max="3082" width="10.5" style="5" bestFit="1" customWidth="1"/>
    <col min="3083" max="3328" width="8.875" style="5"/>
    <col min="3329" max="3329" width="18.5" style="5" customWidth="1"/>
    <col min="3330" max="3331" width="12.125" style="5" customWidth="1"/>
    <col min="3332" max="3332" width="13.75" style="5" customWidth="1"/>
    <col min="3333" max="3333" width="13.5" style="5" customWidth="1"/>
    <col min="3334" max="3334" width="15.125" style="5" customWidth="1"/>
    <col min="3335" max="3335" width="12.25" style="5" customWidth="1"/>
    <col min="3336" max="3336" width="11.125" style="5" customWidth="1"/>
    <col min="3337" max="3337" width="10.25" style="5" customWidth="1"/>
    <col min="3338" max="3338" width="10.5" style="5" bestFit="1" customWidth="1"/>
    <col min="3339" max="3584" width="8.875" style="5"/>
    <col min="3585" max="3585" width="18.5" style="5" customWidth="1"/>
    <col min="3586" max="3587" width="12.125" style="5" customWidth="1"/>
    <col min="3588" max="3588" width="13.75" style="5" customWidth="1"/>
    <col min="3589" max="3589" width="13.5" style="5" customWidth="1"/>
    <col min="3590" max="3590" width="15.125" style="5" customWidth="1"/>
    <col min="3591" max="3591" width="12.25" style="5" customWidth="1"/>
    <col min="3592" max="3592" width="11.125" style="5" customWidth="1"/>
    <col min="3593" max="3593" width="10.25" style="5" customWidth="1"/>
    <col min="3594" max="3594" width="10.5" style="5" bestFit="1" customWidth="1"/>
    <col min="3595" max="3840" width="8.875" style="5"/>
    <col min="3841" max="3841" width="18.5" style="5" customWidth="1"/>
    <col min="3842" max="3843" width="12.125" style="5" customWidth="1"/>
    <col min="3844" max="3844" width="13.75" style="5" customWidth="1"/>
    <col min="3845" max="3845" width="13.5" style="5" customWidth="1"/>
    <col min="3846" max="3846" width="15.125" style="5" customWidth="1"/>
    <col min="3847" max="3847" width="12.25" style="5" customWidth="1"/>
    <col min="3848" max="3848" width="11.125" style="5" customWidth="1"/>
    <col min="3849" max="3849" width="10.25" style="5" customWidth="1"/>
    <col min="3850" max="3850" width="10.5" style="5" bestFit="1" customWidth="1"/>
    <col min="3851" max="4096" width="8.875" style="5"/>
    <col min="4097" max="4097" width="18.5" style="5" customWidth="1"/>
    <col min="4098" max="4099" width="12.125" style="5" customWidth="1"/>
    <col min="4100" max="4100" width="13.75" style="5" customWidth="1"/>
    <col min="4101" max="4101" width="13.5" style="5" customWidth="1"/>
    <col min="4102" max="4102" width="15.125" style="5" customWidth="1"/>
    <col min="4103" max="4103" width="12.25" style="5" customWidth="1"/>
    <col min="4104" max="4104" width="11.125" style="5" customWidth="1"/>
    <col min="4105" max="4105" width="10.25" style="5" customWidth="1"/>
    <col min="4106" max="4106" width="10.5" style="5" bestFit="1" customWidth="1"/>
    <col min="4107" max="4352" width="8.875" style="5"/>
    <col min="4353" max="4353" width="18.5" style="5" customWidth="1"/>
    <col min="4354" max="4355" width="12.125" style="5" customWidth="1"/>
    <col min="4356" max="4356" width="13.75" style="5" customWidth="1"/>
    <col min="4357" max="4357" width="13.5" style="5" customWidth="1"/>
    <col min="4358" max="4358" width="15.125" style="5" customWidth="1"/>
    <col min="4359" max="4359" width="12.25" style="5" customWidth="1"/>
    <col min="4360" max="4360" width="11.125" style="5" customWidth="1"/>
    <col min="4361" max="4361" width="10.25" style="5" customWidth="1"/>
    <col min="4362" max="4362" width="10.5" style="5" bestFit="1" customWidth="1"/>
    <col min="4363" max="4608" width="8.875" style="5"/>
    <col min="4609" max="4609" width="18.5" style="5" customWidth="1"/>
    <col min="4610" max="4611" width="12.125" style="5" customWidth="1"/>
    <col min="4612" max="4612" width="13.75" style="5" customWidth="1"/>
    <col min="4613" max="4613" width="13.5" style="5" customWidth="1"/>
    <col min="4614" max="4614" width="15.125" style="5" customWidth="1"/>
    <col min="4615" max="4615" width="12.25" style="5" customWidth="1"/>
    <col min="4616" max="4616" width="11.125" style="5" customWidth="1"/>
    <col min="4617" max="4617" width="10.25" style="5" customWidth="1"/>
    <col min="4618" max="4618" width="10.5" style="5" bestFit="1" customWidth="1"/>
    <col min="4619" max="4864" width="8.875" style="5"/>
    <col min="4865" max="4865" width="18.5" style="5" customWidth="1"/>
    <col min="4866" max="4867" width="12.125" style="5" customWidth="1"/>
    <col min="4868" max="4868" width="13.75" style="5" customWidth="1"/>
    <col min="4869" max="4869" width="13.5" style="5" customWidth="1"/>
    <col min="4870" max="4870" width="15.125" style="5" customWidth="1"/>
    <col min="4871" max="4871" width="12.25" style="5" customWidth="1"/>
    <col min="4872" max="4872" width="11.125" style="5" customWidth="1"/>
    <col min="4873" max="4873" width="10.25" style="5" customWidth="1"/>
    <col min="4874" max="4874" width="10.5" style="5" bestFit="1" customWidth="1"/>
    <col min="4875" max="5120" width="8.875" style="5"/>
    <col min="5121" max="5121" width="18.5" style="5" customWidth="1"/>
    <col min="5122" max="5123" width="12.125" style="5" customWidth="1"/>
    <col min="5124" max="5124" width="13.75" style="5" customWidth="1"/>
    <col min="5125" max="5125" width="13.5" style="5" customWidth="1"/>
    <col min="5126" max="5126" width="15.125" style="5" customWidth="1"/>
    <col min="5127" max="5127" width="12.25" style="5" customWidth="1"/>
    <col min="5128" max="5128" width="11.125" style="5" customWidth="1"/>
    <col min="5129" max="5129" width="10.25" style="5" customWidth="1"/>
    <col min="5130" max="5130" width="10.5" style="5" bestFit="1" customWidth="1"/>
    <col min="5131" max="5376" width="8.875" style="5"/>
    <col min="5377" max="5377" width="18.5" style="5" customWidth="1"/>
    <col min="5378" max="5379" width="12.125" style="5" customWidth="1"/>
    <col min="5380" max="5380" width="13.75" style="5" customWidth="1"/>
    <col min="5381" max="5381" width="13.5" style="5" customWidth="1"/>
    <col min="5382" max="5382" width="15.125" style="5" customWidth="1"/>
    <col min="5383" max="5383" width="12.25" style="5" customWidth="1"/>
    <col min="5384" max="5384" width="11.125" style="5" customWidth="1"/>
    <col min="5385" max="5385" width="10.25" style="5" customWidth="1"/>
    <col min="5386" max="5386" width="10.5" style="5" bestFit="1" customWidth="1"/>
    <col min="5387" max="5632" width="8.875" style="5"/>
    <col min="5633" max="5633" width="18.5" style="5" customWidth="1"/>
    <col min="5634" max="5635" width="12.125" style="5" customWidth="1"/>
    <col min="5636" max="5636" width="13.75" style="5" customWidth="1"/>
    <col min="5637" max="5637" width="13.5" style="5" customWidth="1"/>
    <col min="5638" max="5638" width="15.125" style="5" customWidth="1"/>
    <col min="5639" max="5639" width="12.25" style="5" customWidth="1"/>
    <col min="5640" max="5640" width="11.125" style="5" customWidth="1"/>
    <col min="5641" max="5641" width="10.25" style="5" customWidth="1"/>
    <col min="5642" max="5642" width="10.5" style="5" bestFit="1" customWidth="1"/>
    <col min="5643" max="5888" width="8.875" style="5"/>
    <col min="5889" max="5889" width="18.5" style="5" customWidth="1"/>
    <col min="5890" max="5891" width="12.125" style="5" customWidth="1"/>
    <col min="5892" max="5892" width="13.75" style="5" customWidth="1"/>
    <col min="5893" max="5893" width="13.5" style="5" customWidth="1"/>
    <col min="5894" max="5894" width="15.125" style="5" customWidth="1"/>
    <col min="5895" max="5895" width="12.25" style="5" customWidth="1"/>
    <col min="5896" max="5896" width="11.125" style="5" customWidth="1"/>
    <col min="5897" max="5897" width="10.25" style="5" customWidth="1"/>
    <col min="5898" max="5898" width="10.5" style="5" bestFit="1" customWidth="1"/>
    <col min="5899" max="6144" width="8.875" style="5"/>
    <col min="6145" max="6145" width="18.5" style="5" customWidth="1"/>
    <col min="6146" max="6147" width="12.125" style="5" customWidth="1"/>
    <col min="6148" max="6148" width="13.75" style="5" customWidth="1"/>
    <col min="6149" max="6149" width="13.5" style="5" customWidth="1"/>
    <col min="6150" max="6150" width="15.125" style="5" customWidth="1"/>
    <col min="6151" max="6151" width="12.25" style="5" customWidth="1"/>
    <col min="6152" max="6152" width="11.125" style="5" customWidth="1"/>
    <col min="6153" max="6153" width="10.25" style="5" customWidth="1"/>
    <col min="6154" max="6154" width="10.5" style="5" bestFit="1" customWidth="1"/>
    <col min="6155" max="6400" width="8.875" style="5"/>
    <col min="6401" max="6401" width="18.5" style="5" customWidth="1"/>
    <col min="6402" max="6403" width="12.125" style="5" customWidth="1"/>
    <col min="6404" max="6404" width="13.75" style="5" customWidth="1"/>
    <col min="6405" max="6405" width="13.5" style="5" customWidth="1"/>
    <col min="6406" max="6406" width="15.125" style="5" customWidth="1"/>
    <col min="6407" max="6407" width="12.25" style="5" customWidth="1"/>
    <col min="6408" max="6408" width="11.125" style="5" customWidth="1"/>
    <col min="6409" max="6409" width="10.25" style="5" customWidth="1"/>
    <col min="6410" max="6410" width="10.5" style="5" bestFit="1" customWidth="1"/>
    <col min="6411" max="6656" width="8.875" style="5"/>
    <col min="6657" max="6657" width="18.5" style="5" customWidth="1"/>
    <col min="6658" max="6659" width="12.125" style="5" customWidth="1"/>
    <col min="6660" max="6660" width="13.75" style="5" customWidth="1"/>
    <col min="6661" max="6661" width="13.5" style="5" customWidth="1"/>
    <col min="6662" max="6662" width="15.125" style="5" customWidth="1"/>
    <col min="6663" max="6663" width="12.25" style="5" customWidth="1"/>
    <col min="6664" max="6664" width="11.125" style="5" customWidth="1"/>
    <col min="6665" max="6665" width="10.25" style="5" customWidth="1"/>
    <col min="6666" max="6666" width="10.5" style="5" bestFit="1" customWidth="1"/>
    <col min="6667" max="6912" width="8.875" style="5"/>
    <col min="6913" max="6913" width="18.5" style="5" customWidth="1"/>
    <col min="6914" max="6915" width="12.125" style="5" customWidth="1"/>
    <col min="6916" max="6916" width="13.75" style="5" customWidth="1"/>
    <col min="6917" max="6917" width="13.5" style="5" customWidth="1"/>
    <col min="6918" max="6918" width="15.125" style="5" customWidth="1"/>
    <col min="6919" max="6919" width="12.25" style="5" customWidth="1"/>
    <col min="6920" max="6920" width="11.125" style="5" customWidth="1"/>
    <col min="6921" max="6921" width="10.25" style="5" customWidth="1"/>
    <col min="6922" max="6922" width="10.5" style="5" bestFit="1" customWidth="1"/>
    <col min="6923" max="7168" width="8.875" style="5"/>
    <col min="7169" max="7169" width="18.5" style="5" customWidth="1"/>
    <col min="7170" max="7171" width="12.125" style="5" customWidth="1"/>
    <col min="7172" max="7172" width="13.75" style="5" customWidth="1"/>
    <col min="7173" max="7173" width="13.5" style="5" customWidth="1"/>
    <col min="7174" max="7174" width="15.125" style="5" customWidth="1"/>
    <col min="7175" max="7175" width="12.25" style="5" customWidth="1"/>
    <col min="7176" max="7176" width="11.125" style="5" customWidth="1"/>
    <col min="7177" max="7177" width="10.25" style="5" customWidth="1"/>
    <col min="7178" max="7178" width="10.5" style="5" bestFit="1" customWidth="1"/>
    <col min="7179" max="7424" width="8.875" style="5"/>
    <col min="7425" max="7425" width="18.5" style="5" customWidth="1"/>
    <col min="7426" max="7427" width="12.125" style="5" customWidth="1"/>
    <col min="7428" max="7428" width="13.75" style="5" customWidth="1"/>
    <col min="7429" max="7429" width="13.5" style="5" customWidth="1"/>
    <col min="7430" max="7430" width="15.125" style="5" customWidth="1"/>
    <col min="7431" max="7431" width="12.25" style="5" customWidth="1"/>
    <col min="7432" max="7432" width="11.125" style="5" customWidth="1"/>
    <col min="7433" max="7433" width="10.25" style="5" customWidth="1"/>
    <col min="7434" max="7434" width="10.5" style="5" bestFit="1" customWidth="1"/>
    <col min="7435" max="7680" width="8.875" style="5"/>
    <col min="7681" max="7681" width="18.5" style="5" customWidth="1"/>
    <col min="7682" max="7683" width="12.125" style="5" customWidth="1"/>
    <col min="7684" max="7684" width="13.75" style="5" customWidth="1"/>
    <col min="7685" max="7685" width="13.5" style="5" customWidth="1"/>
    <col min="7686" max="7686" width="15.125" style="5" customWidth="1"/>
    <col min="7687" max="7687" width="12.25" style="5" customWidth="1"/>
    <col min="7688" max="7688" width="11.125" style="5" customWidth="1"/>
    <col min="7689" max="7689" width="10.25" style="5" customWidth="1"/>
    <col min="7690" max="7690" width="10.5" style="5" bestFit="1" customWidth="1"/>
    <col min="7691" max="7936" width="8.875" style="5"/>
    <col min="7937" max="7937" width="18.5" style="5" customWidth="1"/>
    <col min="7938" max="7939" width="12.125" style="5" customWidth="1"/>
    <col min="7940" max="7940" width="13.75" style="5" customWidth="1"/>
    <col min="7941" max="7941" width="13.5" style="5" customWidth="1"/>
    <col min="7942" max="7942" width="15.125" style="5" customWidth="1"/>
    <col min="7943" max="7943" width="12.25" style="5" customWidth="1"/>
    <col min="7944" max="7944" width="11.125" style="5" customWidth="1"/>
    <col min="7945" max="7945" width="10.25" style="5" customWidth="1"/>
    <col min="7946" max="7946" width="10.5" style="5" bestFit="1" customWidth="1"/>
    <col min="7947" max="8192" width="8.875" style="5"/>
    <col min="8193" max="8193" width="18.5" style="5" customWidth="1"/>
    <col min="8194" max="8195" width="12.125" style="5" customWidth="1"/>
    <col min="8196" max="8196" width="13.75" style="5" customWidth="1"/>
    <col min="8197" max="8197" width="13.5" style="5" customWidth="1"/>
    <col min="8198" max="8198" width="15.125" style="5" customWidth="1"/>
    <col min="8199" max="8199" width="12.25" style="5" customWidth="1"/>
    <col min="8200" max="8200" width="11.125" style="5" customWidth="1"/>
    <col min="8201" max="8201" width="10.25" style="5" customWidth="1"/>
    <col min="8202" max="8202" width="10.5" style="5" bestFit="1" customWidth="1"/>
    <col min="8203" max="8448" width="8.875" style="5"/>
    <col min="8449" max="8449" width="18.5" style="5" customWidth="1"/>
    <col min="8450" max="8451" width="12.125" style="5" customWidth="1"/>
    <col min="8452" max="8452" width="13.75" style="5" customWidth="1"/>
    <col min="8453" max="8453" width="13.5" style="5" customWidth="1"/>
    <col min="8454" max="8454" width="15.125" style="5" customWidth="1"/>
    <col min="8455" max="8455" width="12.25" style="5" customWidth="1"/>
    <col min="8456" max="8456" width="11.125" style="5" customWidth="1"/>
    <col min="8457" max="8457" width="10.25" style="5" customWidth="1"/>
    <col min="8458" max="8458" width="10.5" style="5" bestFit="1" customWidth="1"/>
    <col min="8459" max="8704" width="8.875" style="5"/>
    <col min="8705" max="8705" width="18.5" style="5" customWidth="1"/>
    <col min="8706" max="8707" width="12.125" style="5" customWidth="1"/>
    <col min="8708" max="8708" width="13.75" style="5" customWidth="1"/>
    <col min="8709" max="8709" width="13.5" style="5" customWidth="1"/>
    <col min="8710" max="8710" width="15.125" style="5" customWidth="1"/>
    <col min="8711" max="8711" width="12.25" style="5" customWidth="1"/>
    <col min="8712" max="8712" width="11.125" style="5" customWidth="1"/>
    <col min="8713" max="8713" width="10.25" style="5" customWidth="1"/>
    <col min="8714" max="8714" width="10.5" style="5" bestFit="1" customWidth="1"/>
    <col min="8715" max="8960" width="8.875" style="5"/>
    <col min="8961" max="8961" width="18.5" style="5" customWidth="1"/>
    <col min="8962" max="8963" width="12.125" style="5" customWidth="1"/>
    <col min="8964" max="8964" width="13.75" style="5" customWidth="1"/>
    <col min="8965" max="8965" width="13.5" style="5" customWidth="1"/>
    <col min="8966" max="8966" width="15.125" style="5" customWidth="1"/>
    <col min="8967" max="8967" width="12.25" style="5" customWidth="1"/>
    <col min="8968" max="8968" width="11.125" style="5" customWidth="1"/>
    <col min="8969" max="8969" width="10.25" style="5" customWidth="1"/>
    <col min="8970" max="8970" width="10.5" style="5" bestFit="1" customWidth="1"/>
    <col min="8971" max="9216" width="8.875" style="5"/>
    <col min="9217" max="9217" width="18.5" style="5" customWidth="1"/>
    <col min="9218" max="9219" width="12.125" style="5" customWidth="1"/>
    <col min="9220" max="9220" width="13.75" style="5" customWidth="1"/>
    <col min="9221" max="9221" width="13.5" style="5" customWidth="1"/>
    <col min="9222" max="9222" width="15.125" style="5" customWidth="1"/>
    <col min="9223" max="9223" width="12.25" style="5" customWidth="1"/>
    <col min="9224" max="9224" width="11.125" style="5" customWidth="1"/>
    <col min="9225" max="9225" width="10.25" style="5" customWidth="1"/>
    <col min="9226" max="9226" width="10.5" style="5" bestFit="1" customWidth="1"/>
    <col min="9227" max="9472" width="8.875" style="5"/>
    <col min="9473" max="9473" width="18.5" style="5" customWidth="1"/>
    <col min="9474" max="9475" width="12.125" style="5" customWidth="1"/>
    <col min="9476" max="9476" width="13.75" style="5" customWidth="1"/>
    <col min="9477" max="9477" width="13.5" style="5" customWidth="1"/>
    <col min="9478" max="9478" width="15.125" style="5" customWidth="1"/>
    <col min="9479" max="9479" width="12.25" style="5" customWidth="1"/>
    <col min="9480" max="9480" width="11.125" style="5" customWidth="1"/>
    <col min="9481" max="9481" width="10.25" style="5" customWidth="1"/>
    <col min="9482" max="9482" width="10.5" style="5" bestFit="1" customWidth="1"/>
    <col min="9483" max="9728" width="8.875" style="5"/>
    <col min="9729" max="9729" width="18.5" style="5" customWidth="1"/>
    <col min="9730" max="9731" width="12.125" style="5" customWidth="1"/>
    <col min="9732" max="9732" width="13.75" style="5" customWidth="1"/>
    <col min="9733" max="9733" width="13.5" style="5" customWidth="1"/>
    <col min="9734" max="9734" width="15.125" style="5" customWidth="1"/>
    <col min="9735" max="9735" width="12.25" style="5" customWidth="1"/>
    <col min="9736" max="9736" width="11.125" style="5" customWidth="1"/>
    <col min="9737" max="9737" width="10.25" style="5" customWidth="1"/>
    <col min="9738" max="9738" width="10.5" style="5" bestFit="1" customWidth="1"/>
    <col min="9739" max="9984" width="8.875" style="5"/>
    <col min="9985" max="9985" width="18.5" style="5" customWidth="1"/>
    <col min="9986" max="9987" width="12.125" style="5" customWidth="1"/>
    <col min="9988" max="9988" width="13.75" style="5" customWidth="1"/>
    <col min="9989" max="9989" width="13.5" style="5" customWidth="1"/>
    <col min="9990" max="9990" width="15.125" style="5" customWidth="1"/>
    <col min="9991" max="9991" width="12.25" style="5" customWidth="1"/>
    <col min="9992" max="9992" width="11.125" style="5" customWidth="1"/>
    <col min="9993" max="9993" width="10.25" style="5" customWidth="1"/>
    <col min="9994" max="9994" width="10.5" style="5" bestFit="1" customWidth="1"/>
    <col min="9995" max="10240" width="8.875" style="5"/>
    <col min="10241" max="10241" width="18.5" style="5" customWidth="1"/>
    <col min="10242" max="10243" width="12.125" style="5" customWidth="1"/>
    <col min="10244" max="10244" width="13.75" style="5" customWidth="1"/>
    <col min="10245" max="10245" width="13.5" style="5" customWidth="1"/>
    <col min="10246" max="10246" width="15.125" style="5" customWidth="1"/>
    <col min="10247" max="10247" width="12.25" style="5" customWidth="1"/>
    <col min="10248" max="10248" width="11.125" style="5" customWidth="1"/>
    <col min="10249" max="10249" width="10.25" style="5" customWidth="1"/>
    <col min="10250" max="10250" width="10.5" style="5" bestFit="1" customWidth="1"/>
    <col min="10251" max="10496" width="8.875" style="5"/>
    <col min="10497" max="10497" width="18.5" style="5" customWidth="1"/>
    <col min="10498" max="10499" width="12.125" style="5" customWidth="1"/>
    <col min="10500" max="10500" width="13.75" style="5" customWidth="1"/>
    <col min="10501" max="10501" width="13.5" style="5" customWidth="1"/>
    <col min="10502" max="10502" width="15.125" style="5" customWidth="1"/>
    <col min="10503" max="10503" width="12.25" style="5" customWidth="1"/>
    <col min="10504" max="10504" width="11.125" style="5" customWidth="1"/>
    <col min="10505" max="10505" width="10.25" style="5" customWidth="1"/>
    <col min="10506" max="10506" width="10.5" style="5" bestFit="1" customWidth="1"/>
    <col min="10507" max="10752" width="8.875" style="5"/>
    <col min="10753" max="10753" width="18.5" style="5" customWidth="1"/>
    <col min="10754" max="10755" width="12.125" style="5" customWidth="1"/>
    <col min="10756" max="10756" width="13.75" style="5" customWidth="1"/>
    <col min="10757" max="10757" width="13.5" style="5" customWidth="1"/>
    <col min="10758" max="10758" width="15.125" style="5" customWidth="1"/>
    <col min="10759" max="10759" width="12.25" style="5" customWidth="1"/>
    <col min="10760" max="10760" width="11.125" style="5" customWidth="1"/>
    <col min="10761" max="10761" width="10.25" style="5" customWidth="1"/>
    <col min="10762" max="10762" width="10.5" style="5" bestFit="1" customWidth="1"/>
    <col min="10763" max="11008" width="8.875" style="5"/>
    <col min="11009" max="11009" width="18.5" style="5" customWidth="1"/>
    <col min="11010" max="11011" width="12.125" style="5" customWidth="1"/>
    <col min="11012" max="11012" width="13.75" style="5" customWidth="1"/>
    <col min="11013" max="11013" width="13.5" style="5" customWidth="1"/>
    <col min="11014" max="11014" width="15.125" style="5" customWidth="1"/>
    <col min="11015" max="11015" width="12.25" style="5" customWidth="1"/>
    <col min="11016" max="11016" width="11.125" style="5" customWidth="1"/>
    <col min="11017" max="11017" width="10.25" style="5" customWidth="1"/>
    <col min="11018" max="11018" width="10.5" style="5" bestFit="1" customWidth="1"/>
    <col min="11019" max="11264" width="8.875" style="5"/>
    <col min="11265" max="11265" width="18.5" style="5" customWidth="1"/>
    <col min="11266" max="11267" width="12.125" style="5" customWidth="1"/>
    <col min="11268" max="11268" width="13.75" style="5" customWidth="1"/>
    <col min="11269" max="11269" width="13.5" style="5" customWidth="1"/>
    <col min="11270" max="11270" width="15.125" style="5" customWidth="1"/>
    <col min="11271" max="11271" width="12.25" style="5" customWidth="1"/>
    <col min="11272" max="11272" width="11.125" style="5" customWidth="1"/>
    <col min="11273" max="11273" width="10.25" style="5" customWidth="1"/>
    <col min="11274" max="11274" width="10.5" style="5" bestFit="1" customWidth="1"/>
    <col min="11275" max="11520" width="8.875" style="5"/>
    <col min="11521" max="11521" width="18.5" style="5" customWidth="1"/>
    <col min="11522" max="11523" width="12.125" style="5" customWidth="1"/>
    <col min="11524" max="11524" width="13.75" style="5" customWidth="1"/>
    <col min="11525" max="11525" width="13.5" style="5" customWidth="1"/>
    <col min="11526" max="11526" width="15.125" style="5" customWidth="1"/>
    <col min="11527" max="11527" width="12.25" style="5" customWidth="1"/>
    <col min="11528" max="11528" width="11.125" style="5" customWidth="1"/>
    <col min="11529" max="11529" width="10.25" style="5" customWidth="1"/>
    <col min="11530" max="11530" width="10.5" style="5" bestFit="1" customWidth="1"/>
    <col min="11531" max="11776" width="8.875" style="5"/>
    <col min="11777" max="11777" width="18.5" style="5" customWidth="1"/>
    <col min="11778" max="11779" width="12.125" style="5" customWidth="1"/>
    <col min="11780" max="11780" width="13.75" style="5" customWidth="1"/>
    <col min="11781" max="11781" width="13.5" style="5" customWidth="1"/>
    <col min="11782" max="11782" width="15.125" style="5" customWidth="1"/>
    <col min="11783" max="11783" width="12.25" style="5" customWidth="1"/>
    <col min="11784" max="11784" width="11.125" style="5" customWidth="1"/>
    <col min="11785" max="11785" width="10.25" style="5" customWidth="1"/>
    <col min="11786" max="11786" width="10.5" style="5" bestFit="1" customWidth="1"/>
    <col min="11787" max="12032" width="8.875" style="5"/>
    <col min="12033" max="12033" width="18.5" style="5" customWidth="1"/>
    <col min="12034" max="12035" width="12.125" style="5" customWidth="1"/>
    <col min="12036" max="12036" width="13.75" style="5" customWidth="1"/>
    <col min="12037" max="12037" width="13.5" style="5" customWidth="1"/>
    <col min="12038" max="12038" width="15.125" style="5" customWidth="1"/>
    <col min="12039" max="12039" width="12.25" style="5" customWidth="1"/>
    <col min="12040" max="12040" width="11.125" style="5" customWidth="1"/>
    <col min="12041" max="12041" width="10.25" style="5" customWidth="1"/>
    <col min="12042" max="12042" width="10.5" style="5" bestFit="1" customWidth="1"/>
    <col min="12043" max="12288" width="8.875" style="5"/>
    <col min="12289" max="12289" width="18.5" style="5" customWidth="1"/>
    <col min="12290" max="12291" width="12.125" style="5" customWidth="1"/>
    <col min="12292" max="12292" width="13.75" style="5" customWidth="1"/>
    <col min="12293" max="12293" width="13.5" style="5" customWidth="1"/>
    <col min="12294" max="12294" width="15.125" style="5" customWidth="1"/>
    <col min="12295" max="12295" width="12.25" style="5" customWidth="1"/>
    <col min="12296" max="12296" width="11.125" style="5" customWidth="1"/>
    <col min="12297" max="12297" width="10.25" style="5" customWidth="1"/>
    <col min="12298" max="12298" width="10.5" style="5" bestFit="1" customWidth="1"/>
    <col min="12299" max="12544" width="8.875" style="5"/>
    <col min="12545" max="12545" width="18.5" style="5" customWidth="1"/>
    <col min="12546" max="12547" width="12.125" style="5" customWidth="1"/>
    <col min="12548" max="12548" width="13.75" style="5" customWidth="1"/>
    <col min="12549" max="12549" width="13.5" style="5" customWidth="1"/>
    <col min="12550" max="12550" width="15.125" style="5" customWidth="1"/>
    <col min="12551" max="12551" width="12.25" style="5" customWidth="1"/>
    <col min="12552" max="12552" width="11.125" style="5" customWidth="1"/>
    <col min="12553" max="12553" width="10.25" style="5" customWidth="1"/>
    <col min="12554" max="12554" width="10.5" style="5" bestFit="1" customWidth="1"/>
    <col min="12555" max="12800" width="8.875" style="5"/>
    <col min="12801" max="12801" width="18.5" style="5" customWidth="1"/>
    <col min="12802" max="12803" width="12.125" style="5" customWidth="1"/>
    <col min="12804" max="12804" width="13.75" style="5" customWidth="1"/>
    <col min="12805" max="12805" width="13.5" style="5" customWidth="1"/>
    <col min="12806" max="12806" width="15.125" style="5" customWidth="1"/>
    <col min="12807" max="12807" width="12.25" style="5" customWidth="1"/>
    <col min="12808" max="12808" width="11.125" style="5" customWidth="1"/>
    <col min="12809" max="12809" width="10.25" style="5" customWidth="1"/>
    <col min="12810" max="12810" width="10.5" style="5" bestFit="1" customWidth="1"/>
    <col min="12811" max="13056" width="8.875" style="5"/>
    <col min="13057" max="13057" width="18.5" style="5" customWidth="1"/>
    <col min="13058" max="13059" width="12.125" style="5" customWidth="1"/>
    <col min="13060" max="13060" width="13.75" style="5" customWidth="1"/>
    <col min="13061" max="13061" width="13.5" style="5" customWidth="1"/>
    <col min="13062" max="13062" width="15.125" style="5" customWidth="1"/>
    <col min="13063" max="13063" width="12.25" style="5" customWidth="1"/>
    <col min="13064" max="13064" width="11.125" style="5" customWidth="1"/>
    <col min="13065" max="13065" width="10.25" style="5" customWidth="1"/>
    <col min="13066" max="13066" width="10.5" style="5" bestFit="1" customWidth="1"/>
    <col min="13067" max="13312" width="8.875" style="5"/>
    <col min="13313" max="13313" width="18.5" style="5" customWidth="1"/>
    <col min="13314" max="13315" width="12.125" style="5" customWidth="1"/>
    <col min="13316" max="13316" width="13.75" style="5" customWidth="1"/>
    <col min="13317" max="13317" width="13.5" style="5" customWidth="1"/>
    <col min="13318" max="13318" width="15.125" style="5" customWidth="1"/>
    <col min="13319" max="13319" width="12.25" style="5" customWidth="1"/>
    <col min="13320" max="13320" width="11.125" style="5" customWidth="1"/>
    <col min="13321" max="13321" width="10.25" style="5" customWidth="1"/>
    <col min="13322" max="13322" width="10.5" style="5" bestFit="1" customWidth="1"/>
    <col min="13323" max="13568" width="8.875" style="5"/>
    <col min="13569" max="13569" width="18.5" style="5" customWidth="1"/>
    <col min="13570" max="13571" width="12.125" style="5" customWidth="1"/>
    <col min="13572" max="13572" width="13.75" style="5" customWidth="1"/>
    <col min="13573" max="13573" width="13.5" style="5" customWidth="1"/>
    <col min="13574" max="13574" width="15.125" style="5" customWidth="1"/>
    <col min="13575" max="13575" width="12.25" style="5" customWidth="1"/>
    <col min="13576" max="13576" width="11.125" style="5" customWidth="1"/>
    <col min="13577" max="13577" width="10.25" style="5" customWidth="1"/>
    <col min="13578" max="13578" width="10.5" style="5" bestFit="1" customWidth="1"/>
    <col min="13579" max="13824" width="8.875" style="5"/>
    <col min="13825" max="13825" width="18.5" style="5" customWidth="1"/>
    <col min="13826" max="13827" width="12.125" style="5" customWidth="1"/>
    <col min="13828" max="13828" width="13.75" style="5" customWidth="1"/>
    <col min="13829" max="13829" width="13.5" style="5" customWidth="1"/>
    <col min="13830" max="13830" width="15.125" style="5" customWidth="1"/>
    <col min="13831" max="13831" width="12.25" style="5" customWidth="1"/>
    <col min="13832" max="13832" width="11.125" style="5" customWidth="1"/>
    <col min="13833" max="13833" width="10.25" style="5" customWidth="1"/>
    <col min="13834" max="13834" width="10.5" style="5" bestFit="1" customWidth="1"/>
    <col min="13835" max="14080" width="8.875" style="5"/>
    <col min="14081" max="14081" width="18.5" style="5" customWidth="1"/>
    <col min="14082" max="14083" width="12.125" style="5" customWidth="1"/>
    <col min="14084" max="14084" width="13.75" style="5" customWidth="1"/>
    <col min="14085" max="14085" width="13.5" style="5" customWidth="1"/>
    <col min="14086" max="14086" width="15.125" style="5" customWidth="1"/>
    <col min="14087" max="14087" width="12.25" style="5" customWidth="1"/>
    <col min="14088" max="14088" width="11.125" style="5" customWidth="1"/>
    <col min="14089" max="14089" width="10.25" style="5" customWidth="1"/>
    <col min="14090" max="14090" width="10.5" style="5" bestFit="1" customWidth="1"/>
    <col min="14091" max="14336" width="8.875" style="5"/>
    <col min="14337" max="14337" width="18.5" style="5" customWidth="1"/>
    <col min="14338" max="14339" width="12.125" style="5" customWidth="1"/>
    <col min="14340" max="14340" width="13.75" style="5" customWidth="1"/>
    <col min="14341" max="14341" width="13.5" style="5" customWidth="1"/>
    <col min="14342" max="14342" width="15.125" style="5" customWidth="1"/>
    <col min="14343" max="14343" width="12.25" style="5" customWidth="1"/>
    <col min="14344" max="14344" width="11.125" style="5" customWidth="1"/>
    <col min="14345" max="14345" width="10.25" style="5" customWidth="1"/>
    <col min="14346" max="14346" width="10.5" style="5" bestFit="1" customWidth="1"/>
    <col min="14347" max="14592" width="8.875" style="5"/>
    <col min="14593" max="14593" width="18.5" style="5" customWidth="1"/>
    <col min="14594" max="14595" width="12.125" style="5" customWidth="1"/>
    <col min="14596" max="14596" width="13.75" style="5" customWidth="1"/>
    <col min="14597" max="14597" width="13.5" style="5" customWidth="1"/>
    <col min="14598" max="14598" width="15.125" style="5" customWidth="1"/>
    <col min="14599" max="14599" width="12.25" style="5" customWidth="1"/>
    <col min="14600" max="14600" width="11.125" style="5" customWidth="1"/>
    <col min="14601" max="14601" width="10.25" style="5" customWidth="1"/>
    <col min="14602" max="14602" width="10.5" style="5" bestFit="1" customWidth="1"/>
    <col min="14603" max="14848" width="8.875" style="5"/>
    <col min="14849" max="14849" width="18.5" style="5" customWidth="1"/>
    <col min="14850" max="14851" width="12.125" style="5" customWidth="1"/>
    <col min="14852" max="14852" width="13.75" style="5" customWidth="1"/>
    <col min="14853" max="14853" width="13.5" style="5" customWidth="1"/>
    <col min="14854" max="14854" width="15.125" style="5" customWidth="1"/>
    <col min="14855" max="14855" width="12.25" style="5" customWidth="1"/>
    <col min="14856" max="14856" width="11.125" style="5" customWidth="1"/>
    <col min="14857" max="14857" width="10.25" style="5" customWidth="1"/>
    <col min="14858" max="14858" width="10.5" style="5" bestFit="1" customWidth="1"/>
    <col min="14859" max="15104" width="8.875" style="5"/>
    <col min="15105" max="15105" width="18.5" style="5" customWidth="1"/>
    <col min="15106" max="15107" width="12.125" style="5" customWidth="1"/>
    <col min="15108" max="15108" width="13.75" style="5" customWidth="1"/>
    <col min="15109" max="15109" width="13.5" style="5" customWidth="1"/>
    <col min="15110" max="15110" width="15.125" style="5" customWidth="1"/>
    <col min="15111" max="15111" width="12.25" style="5" customWidth="1"/>
    <col min="15112" max="15112" width="11.125" style="5" customWidth="1"/>
    <col min="15113" max="15113" width="10.25" style="5" customWidth="1"/>
    <col min="15114" max="15114" width="10.5" style="5" bestFit="1" customWidth="1"/>
    <col min="15115" max="15360" width="8.875" style="5"/>
    <col min="15361" max="15361" width="18.5" style="5" customWidth="1"/>
    <col min="15362" max="15363" width="12.125" style="5" customWidth="1"/>
    <col min="15364" max="15364" width="13.75" style="5" customWidth="1"/>
    <col min="15365" max="15365" width="13.5" style="5" customWidth="1"/>
    <col min="15366" max="15366" width="15.125" style="5" customWidth="1"/>
    <col min="15367" max="15367" width="12.25" style="5" customWidth="1"/>
    <col min="15368" max="15368" width="11.125" style="5" customWidth="1"/>
    <col min="15369" max="15369" width="10.25" style="5" customWidth="1"/>
    <col min="15370" max="15370" width="10.5" style="5" bestFit="1" customWidth="1"/>
    <col min="15371" max="15616" width="8.875" style="5"/>
    <col min="15617" max="15617" width="18.5" style="5" customWidth="1"/>
    <col min="15618" max="15619" width="12.125" style="5" customWidth="1"/>
    <col min="15620" max="15620" width="13.75" style="5" customWidth="1"/>
    <col min="15621" max="15621" width="13.5" style="5" customWidth="1"/>
    <col min="15622" max="15622" width="15.125" style="5" customWidth="1"/>
    <col min="15623" max="15623" width="12.25" style="5" customWidth="1"/>
    <col min="15624" max="15624" width="11.125" style="5" customWidth="1"/>
    <col min="15625" max="15625" width="10.25" style="5" customWidth="1"/>
    <col min="15626" max="15626" width="10.5" style="5" bestFit="1" customWidth="1"/>
    <col min="15627" max="15872" width="8.875" style="5"/>
    <col min="15873" max="15873" width="18.5" style="5" customWidth="1"/>
    <col min="15874" max="15875" width="12.125" style="5" customWidth="1"/>
    <col min="15876" max="15876" width="13.75" style="5" customWidth="1"/>
    <col min="15877" max="15877" width="13.5" style="5" customWidth="1"/>
    <col min="15878" max="15878" width="15.125" style="5" customWidth="1"/>
    <col min="15879" max="15879" width="12.25" style="5" customWidth="1"/>
    <col min="15880" max="15880" width="11.125" style="5" customWidth="1"/>
    <col min="15881" max="15881" width="10.25" style="5" customWidth="1"/>
    <col min="15882" max="15882" width="10.5" style="5" bestFit="1" customWidth="1"/>
    <col min="15883" max="16128" width="8.875" style="5"/>
    <col min="16129" max="16129" width="18.5" style="5" customWidth="1"/>
    <col min="16130" max="16131" width="12.125" style="5" customWidth="1"/>
    <col min="16132" max="16132" width="13.75" style="5" customWidth="1"/>
    <col min="16133" max="16133" width="13.5" style="5" customWidth="1"/>
    <col min="16134" max="16134" width="15.125" style="5" customWidth="1"/>
    <col min="16135" max="16135" width="12.25" style="5" customWidth="1"/>
    <col min="16136" max="16136" width="11.125" style="5" customWidth="1"/>
    <col min="16137" max="16137" width="10.25" style="5" customWidth="1"/>
    <col min="16138" max="16138" width="10.5" style="5" bestFit="1" customWidth="1"/>
    <col min="16139" max="16384" width="8.875" style="5"/>
  </cols>
  <sheetData>
    <row r="1" spans="1:10" ht="19.5">
      <c r="A1" s="1" t="s">
        <v>489</v>
      </c>
      <c r="B1" s="1"/>
      <c r="C1" s="57"/>
      <c r="D1" s="58"/>
      <c r="E1" s="540"/>
      <c r="F1" s="57"/>
      <c r="G1" s="58"/>
    </row>
    <row r="3" spans="1:10">
      <c r="A3" s="112" t="s">
        <v>154</v>
      </c>
      <c r="B3" s="63"/>
      <c r="C3" s="66"/>
      <c r="D3" s="65"/>
      <c r="E3" s="530"/>
      <c r="F3" s="66"/>
      <c r="G3" s="201"/>
      <c r="H3" s="202"/>
      <c r="I3" s="68"/>
      <c r="J3" s="69"/>
    </row>
    <row r="4" spans="1:10">
      <c r="A4" s="70" t="s">
        <v>514</v>
      </c>
      <c r="B4" s="8" t="s">
        <v>459</v>
      </c>
      <c r="C4" s="71" t="s">
        <v>422</v>
      </c>
      <c r="D4" s="72" t="s">
        <v>159</v>
      </c>
      <c r="E4" s="531" t="s">
        <v>421</v>
      </c>
      <c r="F4" s="71" t="s">
        <v>422</v>
      </c>
      <c r="G4" s="74" t="s">
        <v>160</v>
      </c>
      <c r="H4" s="8" t="s">
        <v>421</v>
      </c>
      <c r="I4" s="71" t="s">
        <v>422</v>
      </c>
      <c r="J4" s="203" t="s">
        <v>117</v>
      </c>
    </row>
    <row r="5" spans="1:10">
      <c r="A5" s="46"/>
      <c r="B5" s="77" t="s">
        <v>33</v>
      </c>
      <c r="C5" s="76" t="s">
        <v>33</v>
      </c>
      <c r="D5" s="204" t="s">
        <v>2</v>
      </c>
      <c r="E5" s="532" t="s">
        <v>34</v>
      </c>
      <c r="F5" s="76" t="s">
        <v>34</v>
      </c>
      <c r="G5" s="204" t="s">
        <v>2</v>
      </c>
      <c r="H5" s="78" t="s">
        <v>35</v>
      </c>
      <c r="I5" s="79" t="s">
        <v>118</v>
      </c>
      <c r="J5" s="204" t="s">
        <v>2</v>
      </c>
    </row>
    <row r="6" spans="1:10">
      <c r="A6" s="20" t="s">
        <v>5</v>
      </c>
      <c r="B6" s="205"/>
      <c r="C6" s="81"/>
      <c r="D6" s="206"/>
      <c r="E6" s="533"/>
      <c r="F6" s="81"/>
      <c r="G6" s="207"/>
      <c r="H6" s="208"/>
      <c r="I6" s="84"/>
      <c r="J6" s="207"/>
    </row>
    <row r="7" spans="1:10">
      <c r="A7" s="123" t="s">
        <v>6</v>
      </c>
      <c r="B7" s="209">
        <f>SUM(B8:B10)</f>
        <v>1</v>
      </c>
      <c r="C7" s="210">
        <f>[6]折疊車出口比較!C7</f>
        <v>312</v>
      </c>
      <c r="D7" s="515">
        <f>IF(C7,(B7-C7)/C7,0)</f>
        <v>-0.99679487179487181</v>
      </c>
      <c r="E7" s="534">
        <f>SUM(E8:E10)</f>
        <v>591</v>
      </c>
      <c r="F7" s="210">
        <f>[6]折疊車出口比較!F7</f>
        <v>334630</v>
      </c>
      <c r="G7" s="515">
        <f>IF(F7,(E7-F7)/F7,0)</f>
        <v>-0.99823387024474797</v>
      </c>
      <c r="H7" s="87">
        <f>IF(B7,E7/B7,0)</f>
        <v>591</v>
      </c>
      <c r="I7" s="88">
        <f>IF(C7,F7/C7,0)</f>
        <v>1072.5320512820513</v>
      </c>
      <c r="J7" s="512">
        <f>IF(I7,(H7-I7)/I7,0)</f>
        <v>-0.44896751636135435</v>
      </c>
    </row>
    <row r="8" spans="1:10">
      <c r="A8" s="77" t="s">
        <v>381</v>
      </c>
      <c r="B8" s="211">
        <f>折疊車!E8</f>
        <v>0</v>
      </c>
      <c r="C8" s="212">
        <f>VLOOKUP(A8,[12]進出口值表查詢結果!$A$1:$C$17,3,0)</f>
        <v>290</v>
      </c>
      <c r="D8" s="515">
        <f t="shared" ref="D8:D68" si="0">IF(C8,(B8-C8)/C8,0)</f>
        <v>-1</v>
      </c>
      <c r="E8" s="535">
        <f>折疊車!G8</f>
        <v>0</v>
      </c>
      <c r="F8" s="212">
        <f>VLOOKUP(A8,[12]進出口值表查詢結果!$A$1:$C$17,2,0)</f>
        <v>324466</v>
      </c>
      <c r="G8" s="515">
        <f t="shared" ref="G8:G68" si="1">IF(F8,(E8-F8)/F8,0)</f>
        <v>-1</v>
      </c>
      <c r="H8" s="87">
        <f t="shared" ref="H8:H10" si="2">IF(B8,E8/B8,0)</f>
        <v>0</v>
      </c>
      <c r="I8" s="88">
        <f t="shared" ref="I8:I10" si="3">IF(C8,F8/C8,0)</f>
        <v>1118.8482758620689</v>
      </c>
      <c r="J8" s="512">
        <f t="shared" ref="J8:J68" si="4">IF(I8,(H8-I8)/I8,0)</f>
        <v>-1</v>
      </c>
    </row>
    <row r="9" spans="1:10">
      <c r="A9" s="30" t="s">
        <v>7</v>
      </c>
      <c r="B9" s="211">
        <f>折疊車!E9</f>
        <v>1</v>
      </c>
      <c r="C9" s="212">
        <f>VLOOKUP(A9,[12]進出口值表查詢結果!$A$1:$C$17,3,0)</f>
        <v>22</v>
      </c>
      <c r="D9" s="515">
        <f t="shared" si="0"/>
        <v>-0.95454545454545459</v>
      </c>
      <c r="E9" s="535">
        <f>折疊車!G9</f>
        <v>591</v>
      </c>
      <c r="F9" s="212">
        <f>VLOOKUP(A9,[12]進出口值表查詢結果!$A$1:$C$17,2,0)</f>
        <v>10164</v>
      </c>
      <c r="G9" s="515">
        <f t="shared" si="1"/>
        <v>-0.94185360094450998</v>
      </c>
      <c r="H9" s="87">
        <f t="shared" si="2"/>
        <v>591</v>
      </c>
      <c r="I9" s="88">
        <f t="shared" si="3"/>
        <v>462</v>
      </c>
      <c r="J9" s="512">
        <f t="shared" si="4"/>
        <v>0.2792207792207792</v>
      </c>
    </row>
    <row r="10" spans="1:10">
      <c r="A10" s="30" t="s">
        <v>8</v>
      </c>
      <c r="B10" s="211">
        <f>折疊車!E10</f>
        <v>0</v>
      </c>
      <c r="C10" s="212">
        <v>0</v>
      </c>
      <c r="D10" s="515">
        <f t="shared" si="0"/>
        <v>0</v>
      </c>
      <c r="E10" s="535">
        <f>折疊車!G10</f>
        <v>0</v>
      </c>
      <c r="F10" s="212">
        <v>0</v>
      </c>
      <c r="G10" s="515">
        <f t="shared" si="1"/>
        <v>0</v>
      </c>
      <c r="H10" s="87">
        <f t="shared" si="2"/>
        <v>0</v>
      </c>
      <c r="I10" s="88">
        <f t="shared" si="3"/>
        <v>0</v>
      </c>
      <c r="J10" s="512">
        <f t="shared" si="4"/>
        <v>0</v>
      </c>
    </row>
    <row r="11" spans="1:10">
      <c r="A11" s="30"/>
      <c r="B11" s="27"/>
      <c r="C11" s="90"/>
      <c r="D11" s="515"/>
      <c r="E11" s="536"/>
      <c r="F11" s="90">
        <f>[6]折疊車出口比較!F11</f>
        <v>0</v>
      </c>
      <c r="G11" s="515"/>
      <c r="H11" s="87"/>
      <c r="I11" s="88"/>
      <c r="J11" s="512"/>
    </row>
    <row r="12" spans="1:10">
      <c r="A12" s="32" t="s">
        <v>9</v>
      </c>
      <c r="B12" s="33">
        <f>SUM(B13:B39)</f>
        <v>78</v>
      </c>
      <c r="C12" s="91">
        <f>[6]折疊車出口比較!C12</f>
        <v>511</v>
      </c>
      <c r="D12" s="515">
        <f t="shared" si="0"/>
        <v>-0.84735812133072408</v>
      </c>
      <c r="E12" s="537">
        <f>SUM(E13:E39)</f>
        <v>53600</v>
      </c>
      <c r="F12" s="91">
        <f>[6]折疊車出口比較!F12</f>
        <v>344564</v>
      </c>
      <c r="G12" s="515">
        <f t="shared" si="1"/>
        <v>-0.84444109076978446</v>
      </c>
      <c r="H12" s="87">
        <f t="shared" ref="H12:H67" si="5">IF(B12,E12/B12,0)</f>
        <v>687.17948717948718</v>
      </c>
      <c r="I12" s="88">
        <f t="shared" ref="I12:I67" si="6">IF(C12,F12/C12,0)</f>
        <v>674.29354207436404</v>
      </c>
      <c r="J12" s="512">
        <f t="shared" si="4"/>
        <v>1.9110289956925056E-2</v>
      </c>
    </row>
    <row r="13" spans="1:10">
      <c r="A13" s="453" t="s">
        <v>202</v>
      </c>
      <c r="B13" s="211">
        <f>折疊車!E13</f>
        <v>30</v>
      </c>
      <c r="C13" s="212">
        <f>VLOOKUP(A13,[12]進出口值表查詢結果!$A$1:$C$17,3,0)</f>
        <v>156</v>
      </c>
      <c r="D13" s="515">
        <f t="shared" si="0"/>
        <v>-0.80769230769230771</v>
      </c>
      <c r="E13" s="536">
        <f>折疊車!G13</f>
        <v>13469</v>
      </c>
      <c r="F13" s="212">
        <f>VLOOKUP(A13,[12]進出口值表查詢結果!$A$1:$C$17,2,0)</f>
        <v>63929</v>
      </c>
      <c r="G13" s="515">
        <f t="shared" si="1"/>
        <v>-0.78931314426942389</v>
      </c>
      <c r="H13" s="87">
        <f t="shared" si="5"/>
        <v>448.96666666666664</v>
      </c>
      <c r="I13" s="88">
        <f t="shared" si="6"/>
        <v>409.80128205128204</v>
      </c>
      <c r="J13" s="512">
        <f t="shared" si="4"/>
        <v>9.5571649798995711E-2</v>
      </c>
    </row>
    <row r="14" spans="1:10">
      <c r="A14" s="453" t="s">
        <v>203</v>
      </c>
      <c r="B14" s="211">
        <f>折疊車!E14</f>
        <v>0</v>
      </c>
      <c r="C14" s="212">
        <f>VLOOKUP(A14,[12]進出口值表查詢結果!$A$1:$C$17,3,0)</f>
        <v>50</v>
      </c>
      <c r="D14" s="515">
        <f t="shared" si="0"/>
        <v>-1</v>
      </c>
      <c r="E14" s="536">
        <f>折疊車!G14</f>
        <v>0</v>
      </c>
      <c r="F14" s="212">
        <f>VLOOKUP(A14,[12]進出口值表查詢結果!$A$1:$C$17,2,0)</f>
        <v>46530</v>
      </c>
      <c r="G14" s="515">
        <f t="shared" si="1"/>
        <v>-1</v>
      </c>
      <c r="H14" s="87">
        <f t="shared" si="5"/>
        <v>0</v>
      </c>
      <c r="I14" s="88">
        <f t="shared" si="6"/>
        <v>930.6</v>
      </c>
      <c r="J14" s="512">
        <f t="shared" si="4"/>
        <v>-1</v>
      </c>
    </row>
    <row r="15" spans="1:10">
      <c r="A15" s="454" t="s">
        <v>10</v>
      </c>
      <c r="B15" s="211">
        <f>折疊車!E15</f>
        <v>48</v>
      </c>
      <c r="C15" s="212">
        <v>0</v>
      </c>
      <c r="D15" s="515">
        <f t="shared" si="0"/>
        <v>0</v>
      </c>
      <c r="E15" s="536">
        <f>折疊車!G15</f>
        <v>40131</v>
      </c>
      <c r="F15" s="212">
        <v>0</v>
      </c>
      <c r="G15" s="515">
        <f t="shared" si="1"/>
        <v>0</v>
      </c>
      <c r="H15" s="87">
        <f t="shared" si="5"/>
        <v>836.0625</v>
      </c>
      <c r="I15" s="88">
        <f t="shared" si="6"/>
        <v>0</v>
      </c>
      <c r="J15" s="512">
        <f t="shared" si="4"/>
        <v>0</v>
      </c>
    </row>
    <row r="16" spans="1:10">
      <c r="A16" s="453" t="s">
        <v>204</v>
      </c>
      <c r="B16" s="211">
        <f>折疊車!E16</f>
        <v>0</v>
      </c>
      <c r="C16" s="212">
        <v>0</v>
      </c>
      <c r="D16" s="515">
        <f t="shared" si="0"/>
        <v>0</v>
      </c>
      <c r="E16" s="536">
        <f>折疊車!G16</f>
        <v>0</v>
      </c>
      <c r="F16" s="212">
        <v>0</v>
      </c>
      <c r="G16" s="515">
        <f t="shared" si="1"/>
        <v>0</v>
      </c>
      <c r="H16" s="87">
        <f t="shared" si="5"/>
        <v>0</v>
      </c>
      <c r="I16" s="88">
        <f t="shared" si="6"/>
        <v>0</v>
      </c>
      <c r="J16" s="512">
        <f t="shared" si="4"/>
        <v>0</v>
      </c>
    </row>
    <row r="17" spans="1:10">
      <c r="A17" s="454" t="s">
        <v>11</v>
      </c>
      <c r="B17" s="211">
        <f>折疊車!E17</f>
        <v>0</v>
      </c>
      <c r="C17" s="212">
        <v>0</v>
      </c>
      <c r="D17" s="515">
        <f t="shared" si="0"/>
        <v>0</v>
      </c>
      <c r="E17" s="536">
        <f>折疊車!G17</f>
        <v>0</v>
      </c>
      <c r="F17" s="212">
        <v>0</v>
      </c>
      <c r="G17" s="515">
        <f t="shared" si="1"/>
        <v>0</v>
      </c>
      <c r="H17" s="87">
        <f t="shared" si="5"/>
        <v>0</v>
      </c>
      <c r="I17" s="88">
        <f t="shared" si="6"/>
        <v>0</v>
      </c>
      <c r="J17" s="512">
        <f t="shared" si="4"/>
        <v>0</v>
      </c>
    </row>
    <row r="18" spans="1:10">
      <c r="A18" s="454" t="s">
        <v>12</v>
      </c>
      <c r="B18" s="211">
        <f>折疊車!E18</f>
        <v>0</v>
      </c>
      <c r="C18" s="212">
        <v>0</v>
      </c>
      <c r="D18" s="515">
        <f t="shared" si="0"/>
        <v>0</v>
      </c>
      <c r="E18" s="536">
        <f>折疊車!G18</f>
        <v>0</v>
      </c>
      <c r="F18" s="212">
        <v>0</v>
      </c>
      <c r="G18" s="515">
        <f t="shared" si="1"/>
        <v>0</v>
      </c>
      <c r="H18" s="87">
        <f t="shared" si="5"/>
        <v>0</v>
      </c>
      <c r="I18" s="88">
        <f t="shared" si="6"/>
        <v>0</v>
      </c>
      <c r="J18" s="512">
        <f t="shared" si="4"/>
        <v>0</v>
      </c>
    </row>
    <row r="19" spans="1:10">
      <c r="A19" s="453" t="s">
        <v>205</v>
      </c>
      <c r="B19" s="211">
        <f>折疊車!E19</f>
        <v>0</v>
      </c>
      <c r="C19" s="212">
        <v>0</v>
      </c>
      <c r="D19" s="515">
        <f t="shared" si="0"/>
        <v>0</v>
      </c>
      <c r="E19" s="536">
        <f>折疊車!G19</f>
        <v>0</v>
      </c>
      <c r="F19" s="212">
        <v>0</v>
      </c>
      <c r="G19" s="515">
        <f t="shared" si="1"/>
        <v>0</v>
      </c>
      <c r="H19" s="87">
        <f t="shared" si="5"/>
        <v>0</v>
      </c>
      <c r="I19" s="88">
        <f t="shared" si="6"/>
        <v>0</v>
      </c>
      <c r="J19" s="512">
        <f t="shared" si="4"/>
        <v>0</v>
      </c>
    </row>
    <row r="20" spans="1:10">
      <c r="A20" s="454" t="s">
        <v>13</v>
      </c>
      <c r="B20" s="211">
        <f>折疊車!E20</f>
        <v>0</v>
      </c>
      <c r="C20" s="212">
        <v>0</v>
      </c>
      <c r="D20" s="515">
        <f t="shared" si="0"/>
        <v>0</v>
      </c>
      <c r="E20" s="536">
        <f>折疊車!G20</f>
        <v>0</v>
      </c>
      <c r="F20" s="212">
        <v>0</v>
      </c>
      <c r="G20" s="515">
        <f t="shared" si="1"/>
        <v>0</v>
      </c>
      <c r="H20" s="87">
        <f t="shared" si="5"/>
        <v>0</v>
      </c>
      <c r="I20" s="88">
        <f t="shared" si="6"/>
        <v>0</v>
      </c>
      <c r="J20" s="512">
        <f t="shared" si="4"/>
        <v>0</v>
      </c>
    </row>
    <row r="21" spans="1:10">
      <c r="A21" s="453" t="s">
        <v>207</v>
      </c>
      <c r="B21" s="211">
        <f>折疊車!E21</f>
        <v>0</v>
      </c>
      <c r="C21" s="212">
        <v>0</v>
      </c>
      <c r="D21" s="515">
        <f t="shared" si="0"/>
        <v>0</v>
      </c>
      <c r="E21" s="536">
        <f>折疊車!G21</f>
        <v>0</v>
      </c>
      <c r="F21" s="212">
        <v>0</v>
      </c>
      <c r="G21" s="515">
        <f t="shared" si="1"/>
        <v>0</v>
      </c>
      <c r="H21" s="87">
        <f t="shared" si="5"/>
        <v>0</v>
      </c>
      <c r="I21" s="88">
        <f t="shared" si="6"/>
        <v>0</v>
      </c>
      <c r="J21" s="512">
        <f t="shared" si="4"/>
        <v>0</v>
      </c>
    </row>
    <row r="22" spans="1:10">
      <c r="A22" s="454" t="s">
        <v>14</v>
      </c>
      <c r="B22" s="211">
        <f>折疊車!E22</f>
        <v>0</v>
      </c>
      <c r="C22" s="212">
        <v>0</v>
      </c>
      <c r="D22" s="515">
        <f t="shared" si="0"/>
        <v>0</v>
      </c>
      <c r="E22" s="536">
        <f>折疊車!G22</f>
        <v>0</v>
      </c>
      <c r="F22" s="212">
        <v>0</v>
      </c>
      <c r="G22" s="515">
        <f t="shared" si="1"/>
        <v>0</v>
      </c>
      <c r="H22" s="87">
        <f t="shared" si="5"/>
        <v>0</v>
      </c>
      <c r="I22" s="88">
        <f t="shared" si="6"/>
        <v>0</v>
      </c>
      <c r="J22" s="512">
        <f t="shared" si="4"/>
        <v>0</v>
      </c>
    </row>
    <row r="23" spans="1:10">
      <c r="A23" s="454" t="s">
        <v>15</v>
      </c>
      <c r="B23" s="211">
        <f>折疊車!E23</f>
        <v>0</v>
      </c>
      <c r="C23" s="212">
        <v>0</v>
      </c>
      <c r="D23" s="515">
        <f t="shared" si="0"/>
        <v>0</v>
      </c>
      <c r="E23" s="536">
        <f>折疊車!G23</f>
        <v>0</v>
      </c>
      <c r="F23" s="212">
        <v>0</v>
      </c>
      <c r="G23" s="515">
        <f t="shared" si="1"/>
        <v>0</v>
      </c>
      <c r="H23" s="87">
        <f t="shared" si="5"/>
        <v>0</v>
      </c>
      <c r="I23" s="88">
        <f t="shared" si="6"/>
        <v>0</v>
      </c>
      <c r="J23" s="512">
        <f t="shared" si="4"/>
        <v>0</v>
      </c>
    </row>
    <row r="24" spans="1:10">
      <c r="A24" s="454" t="s">
        <v>16</v>
      </c>
      <c r="B24" s="211">
        <f>折疊車!E24</f>
        <v>0</v>
      </c>
      <c r="C24" s="212">
        <f>VLOOKUP(A24,[12]進出口值表查詢結果!$A$1:$C$17,3,0)</f>
        <v>305</v>
      </c>
      <c r="D24" s="515">
        <f t="shared" si="0"/>
        <v>-1</v>
      </c>
      <c r="E24" s="536">
        <f>折疊車!G24</f>
        <v>0</v>
      </c>
      <c r="F24" s="212">
        <f>VLOOKUP(A24,[12]進出口值表查詢結果!$A$1:$C$17,2,0)</f>
        <v>234105</v>
      </c>
      <c r="G24" s="515">
        <f t="shared" si="1"/>
        <v>-1</v>
      </c>
      <c r="H24" s="87">
        <f t="shared" si="5"/>
        <v>0</v>
      </c>
      <c r="I24" s="88">
        <f t="shared" si="6"/>
        <v>767.55737704918033</v>
      </c>
      <c r="J24" s="512">
        <f t="shared" si="4"/>
        <v>-1</v>
      </c>
    </row>
    <row r="25" spans="1:10">
      <c r="A25" s="453" t="s">
        <v>208</v>
      </c>
      <c r="B25" s="211">
        <f>折疊車!E25</f>
        <v>0</v>
      </c>
      <c r="C25" s="212">
        <v>0</v>
      </c>
      <c r="D25" s="515">
        <f t="shared" si="0"/>
        <v>0</v>
      </c>
      <c r="E25" s="536">
        <f>折疊車!G25</f>
        <v>0</v>
      </c>
      <c r="F25" s="212">
        <v>0</v>
      </c>
      <c r="G25" s="515">
        <f t="shared" si="1"/>
        <v>0</v>
      </c>
      <c r="H25" s="87">
        <f t="shared" si="5"/>
        <v>0</v>
      </c>
      <c r="I25" s="88">
        <f t="shared" si="6"/>
        <v>0</v>
      </c>
      <c r="J25" s="512">
        <f t="shared" si="4"/>
        <v>0</v>
      </c>
    </row>
    <row r="26" spans="1:10">
      <c r="A26" s="453" t="s">
        <v>209</v>
      </c>
      <c r="B26" s="211">
        <f>折疊車!E26</f>
        <v>0</v>
      </c>
      <c r="C26" s="212">
        <v>0</v>
      </c>
      <c r="D26" s="515">
        <f t="shared" si="0"/>
        <v>0</v>
      </c>
      <c r="E26" s="536">
        <f>折疊車!G26</f>
        <v>0</v>
      </c>
      <c r="F26" s="212">
        <v>0</v>
      </c>
      <c r="G26" s="515">
        <f t="shared" si="1"/>
        <v>0</v>
      </c>
      <c r="H26" s="87">
        <f t="shared" si="5"/>
        <v>0</v>
      </c>
      <c r="I26" s="88">
        <f t="shared" si="6"/>
        <v>0</v>
      </c>
      <c r="J26" s="512">
        <f t="shared" si="4"/>
        <v>0</v>
      </c>
    </row>
    <row r="27" spans="1:10">
      <c r="A27" s="294" t="s">
        <v>210</v>
      </c>
      <c r="B27" s="211">
        <f>折疊車!E27</f>
        <v>0</v>
      </c>
      <c r="C27" s="212">
        <v>0</v>
      </c>
      <c r="D27" s="515">
        <f t="shared" si="0"/>
        <v>0</v>
      </c>
      <c r="E27" s="536">
        <f>折疊車!G27</f>
        <v>0</v>
      </c>
      <c r="F27" s="212">
        <v>0</v>
      </c>
      <c r="G27" s="515">
        <f t="shared" si="1"/>
        <v>0</v>
      </c>
      <c r="H27" s="87">
        <f t="shared" si="5"/>
        <v>0</v>
      </c>
      <c r="I27" s="88">
        <f t="shared" si="6"/>
        <v>0</v>
      </c>
      <c r="J27" s="512">
        <f t="shared" si="4"/>
        <v>0</v>
      </c>
    </row>
    <row r="28" spans="1:10">
      <c r="A28" s="294" t="s">
        <v>211</v>
      </c>
      <c r="B28" s="211">
        <f>折疊車!E28</f>
        <v>0</v>
      </c>
      <c r="C28" s="212">
        <v>0</v>
      </c>
      <c r="D28" s="515">
        <f t="shared" si="0"/>
        <v>0</v>
      </c>
      <c r="E28" s="536">
        <f>折疊車!G28</f>
        <v>0</v>
      </c>
      <c r="F28" s="212">
        <v>0</v>
      </c>
      <c r="G28" s="515">
        <f t="shared" si="1"/>
        <v>0</v>
      </c>
      <c r="H28" s="87">
        <f t="shared" si="5"/>
        <v>0</v>
      </c>
      <c r="I28" s="88">
        <f t="shared" si="6"/>
        <v>0</v>
      </c>
      <c r="J28" s="512">
        <f t="shared" si="4"/>
        <v>0</v>
      </c>
    </row>
    <row r="29" spans="1:10">
      <c r="A29" s="454" t="s">
        <v>212</v>
      </c>
      <c r="B29" s="211">
        <f>折疊車!E29</f>
        <v>0</v>
      </c>
      <c r="C29" s="212">
        <v>0</v>
      </c>
      <c r="D29" s="515">
        <f t="shared" si="0"/>
        <v>0</v>
      </c>
      <c r="E29" s="536">
        <f>折疊車!G29</f>
        <v>0</v>
      </c>
      <c r="F29" s="212">
        <v>0</v>
      </c>
      <c r="G29" s="515">
        <f t="shared" si="1"/>
        <v>0</v>
      </c>
      <c r="H29" s="87">
        <f t="shared" si="5"/>
        <v>0</v>
      </c>
      <c r="I29" s="88">
        <f t="shared" si="6"/>
        <v>0</v>
      </c>
      <c r="J29" s="512">
        <f t="shared" si="4"/>
        <v>0</v>
      </c>
    </row>
    <row r="30" spans="1:10">
      <c r="A30" s="454" t="s">
        <v>213</v>
      </c>
      <c r="B30" s="211">
        <f>折疊車!E30</f>
        <v>0</v>
      </c>
      <c r="C30" s="212">
        <v>0</v>
      </c>
      <c r="D30" s="515">
        <f t="shared" si="0"/>
        <v>0</v>
      </c>
      <c r="E30" s="536">
        <f>折疊車!G30</f>
        <v>0</v>
      </c>
      <c r="F30" s="212">
        <v>0</v>
      </c>
      <c r="G30" s="515">
        <f t="shared" si="1"/>
        <v>0</v>
      </c>
      <c r="H30" s="87">
        <f t="shared" si="5"/>
        <v>0</v>
      </c>
      <c r="I30" s="88">
        <f t="shared" si="6"/>
        <v>0</v>
      </c>
      <c r="J30" s="512">
        <f t="shared" si="4"/>
        <v>0</v>
      </c>
    </row>
    <row r="31" spans="1:10">
      <c r="A31" s="454" t="s">
        <v>17</v>
      </c>
      <c r="B31" s="211">
        <f>折疊車!E31</f>
        <v>0</v>
      </c>
      <c r="C31" s="212">
        <v>0</v>
      </c>
      <c r="D31" s="515">
        <f t="shared" si="0"/>
        <v>0</v>
      </c>
      <c r="E31" s="536">
        <f>折疊車!G31</f>
        <v>0</v>
      </c>
      <c r="F31" s="212">
        <v>0</v>
      </c>
      <c r="G31" s="515">
        <f t="shared" si="1"/>
        <v>0</v>
      </c>
      <c r="H31" s="87">
        <f t="shared" si="5"/>
        <v>0</v>
      </c>
      <c r="I31" s="88">
        <f t="shared" si="6"/>
        <v>0</v>
      </c>
      <c r="J31" s="512">
        <f t="shared" si="4"/>
        <v>0</v>
      </c>
    </row>
    <row r="32" spans="1:10">
      <c r="A32" s="454" t="s">
        <v>18</v>
      </c>
      <c r="B32" s="211">
        <f>折疊車!E32</f>
        <v>0</v>
      </c>
      <c r="C32" s="212">
        <v>0</v>
      </c>
      <c r="D32" s="515">
        <f t="shared" si="0"/>
        <v>0</v>
      </c>
      <c r="E32" s="536">
        <f>折疊車!G32</f>
        <v>0</v>
      </c>
      <c r="F32" s="212">
        <v>0</v>
      </c>
      <c r="G32" s="515">
        <f t="shared" si="1"/>
        <v>0</v>
      </c>
      <c r="H32" s="87">
        <f t="shared" si="5"/>
        <v>0</v>
      </c>
      <c r="I32" s="88">
        <f t="shared" si="6"/>
        <v>0</v>
      </c>
      <c r="J32" s="512">
        <f t="shared" si="4"/>
        <v>0</v>
      </c>
    </row>
    <row r="33" spans="1:10">
      <c r="A33" s="454" t="s">
        <v>214</v>
      </c>
      <c r="B33" s="211">
        <f>折疊車!E33</f>
        <v>0</v>
      </c>
      <c r="C33" s="212">
        <v>0</v>
      </c>
      <c r="D33" s="515">
        <f t="shared" si="0"/>
        <v>0</v>
      </c>
      <c r="E33" s="536">
        <f>折疊車!G33</f>
        <v>0</v>
      </c>
      <c r="F33" s="212">
        <v>0</v>
      </c>
      <c r="G33" s="515">
        <f t="shared" si="1"/>
        <v>0</v>
      </c>
      <c r="H33" s="87">
        <f t="shared" si="5"/>
        <v>0</v>
      </c>
      <c r="I33" s="88">
        <f t="shared" si="6"/>
        <v>0</v>
      </c>
      <c r="J33" s="512">
        <f t="shared" si="4"/>
        <v>0</v>
      </c>
    </row>
    <row r="34" spans="1:10">
      <c r="A34" s="454" t="s">
        <v>215</v>
      </c>
      <c r="B34" s="211">
        <f>折疊車!E34</f>
        <v>0</v>
      </c>
      <c r="C34" s="212">
        <v>0</v>
      </c>
      <c r="D34" s="515">
        <f t="shared" si="0"/>
        <v>0</v>
      </c>
      <c r="E34" s="536">
        <f>折疊車!G34</f>
        <v>0</v>
      </c>
      <c r="F34" s="212">
        <v>0</v>
      </c>
      <c r="G34" s="515">
        <f t="shared" si="1"/>
        <v>0</v>
      </c>
      <c r="H34" s="87">
        <f t="shared" si="5"/>
        <v>0</v>
      </c>
      <c r="I34" s="88">
        <f t="shared" si="6"/>
        <v>0</v>
      </c>
      <c r="J34" s="512">
        <f t="shared" si="4"/>
        <v>0</v>
      </c>
    </row>
    <row r="35" spans="1:10">
      <c r="A35" s="454" t="s">
        <v>216</v>
      </c>
      <c r="B35" s="211">
        <f>折疊車!E35</f>
        <v>0</v>
      </c>
      <c r="C35" s="212">
        <v>0</v>
      </c>
      <c r="D35" s="515">
        <f t="shared" si="0"/>
        <v>0</v>
      </c>
      <c r="E35" s="536">
        <f>折疊車!G35</f>
        <v>0</v>
      </c>
      <c r="F35" s="212">
        <v>0</v>
      </c>
      <c r="G35" s="515">
        <f t="shared" si="1"/>
        <v>0</v>
      </c>
      <c r="H35" s="87">
        <f t="shared" si="5"/>
        <v>0</v>
      </c>
      <c r="I35" s="88">
        <f t="shared" si="6"/>
        <v>0</v>
      </c>
      <c r="J35" s="512">
        <f t="shared" si="4"/>
        <v>0</v>
      </c>
    </row>
    <row r="36" spans="1:10">
      <c r="A36" s="454" t="s">
        <v>382</v>
      </c>
      <c r="B36" s="211">
        <f>折疊車!E36</f>
        <v>0</v>
      </c>
      <c r="C36" s="212">
        <v>0</v>
      </c>
      <c r="D36" s="515">
        <f t="shared" si="0"/>
        <v>0</v>
      </c>
      <c r="E36" s="536">
        <f>折疊車!G36</f>
        <v>0</v>
      </c>
      <c r="F36" s="212">
        <v>0</v>
      </c>
      <c r="G36" s="515">
        <f t="shared" si="1"/>
        <v>0</v>
      </c>
      <c r="H36" s="87">
        <f t="shared" si="5"/>
        <v>0</v>
      </c>
      <c r="I36" s="88">
        <f t="shared" si="6"/>
        <v>0</v>
      </c>
      <c r="J36" s="512">
        <f t="shared" si="4"/>
        <v>0</v>
      </c>
    </row>
    <row r="37" spans="1:10">
      <c r="A37" s="454" t="s">
        <v>218</v>
      </c>
      <c r="B37" s="211">
        <f>折疊車!E37</f>
        <v>0</v>
      </c>
      <c r="C37" s="212">
        <v>0</v>
      </c>
      <c r="D37" s="515">
        <f t="shared" si="0"/>
        <v>0</v>
      </c>
      <c r="E37" s="536">
        <f>折疊車!G37</f>
        <v>0</v>
      </c>
      <c r="F37" s="212">
        <v>0</v>
      </c>
      <c r="G37" s="515">
        <f t="shared" si="1"/>
        <v>0</v>
      </c>
      <c r="H37" s="87">
        <f t="shared" si="5"/>
        <v>0</v>
      </c>
      <c r="I37" s="88">
        <f t="shared" si="6"/>
        <v>0</v>
      </c>
      <c r="J37" s="512">
        <f t="shared" si="4"/>
        <v>0</v>
      </c>
    </row>
    <row r="38" spans="1:10">
      <c r="A38" s="454" t="s">
        <v>219</v>
      </c>
      <c r="B38" s="211">
        <f>折疊車!E38</f>
        <v>0</v>
      </c>
      <c r="C38" s="212">
        <v>0</v>
      </c>
      <c r="D38" s="515">
        <f t="shared" si="0"/>
        <v>0</v>
      </c>
      <c r="E38" s="536">
        <f>折疊車!G38</f>
        <v>0</v>
      </c>
      <c r="F38" s="212">
        <v>0</v>
      </c>
      <c r="G38" s="515">
        <f t="shared" si="1"/>
        <v>0</v>
      </c>
      <c r="H38" s="87">
        <f t="shared" si="5"/>
        <v>0</v>
      </c>
      <c r="I38" s="88">
        <f t="shared" si="6"/>
        <v>0</v>
      </c>
      <c r="J38" s="512">
        <f t="shared" si="4"/>
        <v>0</v>
      </c>
    </row>
    <row r="39" spans="1:10">
      <c r="A39" s="454" t="s">
        <v>19</v>
      </c>
      <c r="B39" s="211">
        <f>折疊車!E39</f>
        <v>0</v>
      </c>
      <c r="C39" s="212">
        <v>0</v>
      </c>
      <c r="D39" s="515">
        <f t="shared" si="0"/>
        <v>0</v>
      </c>
      <c r="E39" s="536">
        <f>折疊車!G39</f>
        <v>0</v>
      </c>
      <c r="F39" s="212">
        <v>0</v>
      </c>
      <c r="G39" s="515">
        <f t="shared" si="1"/>
        <v>0</v>
      </c>
      <c r="H39" s="87">
        <f t="shared" si="5"/>
        <v>0</v>
      </c>
      <c r="I39" s="88">
        <f t="shared" si="6"/>
        <v>0</v>
      </c>
      <c r="J39" s="512">
        <f t="shared" si="4"/>
        <v>0</v>
      </c>
    </row>
    <row r="40" spans="1:10">
      <c r="A40" s="30"/>
      <c r="B40" s="27"/>
      <c r="C40" s="90"/>
      <c r="D40" s="515"/>
      <c r="E40" s="536"/>
      <c r="F40" s="90"/>
      <c r="G40" s="515"/>
      <c r="H40" s="87"/>
      <c r="I40" s="88"/>
      <c r="J40" s="512"/>
    </row>
    <row r="41" spans="1:10" ht="16.149999999999999" customHeight="1">
      <c r="A41" s="36" t="s">
        <v>20</v>
      </c>
      <c r="B41" s="33">
        <f>SUM(B42:B45)</f>
        <v>0</v>
      </c>
      <c r="C41" s="33">
        <f>SUM(C42:C45)</f>
        <v>0</v>
      </c>
      <c r="D41" s="515">
        <f t="shared" si="0"/>
        <v>0</v>
      </c>
      <c r="E41" s="537">
        <f>SUM(E42:E45)</f>
        <v>0</v>
      </c>
      <c r="F41" s="91">
        <f>[6]折疊車出口比較!F41</f>
        <v>0</v>
      </c>
      <c r="G41" s="515">
        <f t="shared" si="1"/>
        <v>0</v>
      </c>
      <c r="H41" s="87">
        <f t="shared" si="5"/>
        <v>0</v>
      </c>
      <c r="I41" s="88">
        <f t="shared" si="6"/>
        <v>0</v>
      </c>
      <c r="J41" s="512">
        <f t="shared" si="4"/>
        <v>0</v>
      </c>
    </row>
    <row r="42" spans="1:10">
      <c r="A42" s="26" t="s">
        <v>220</v>
      </c>
      <c r="B42" s="27">
        <f>折疊車!E42</f>
        <v>0</v>
      </c>
      <c r="C42" s="212">
        <v>0</v>
      </c>
      <c r="D42" s="515">
        <f t="shared" si="0"/>
        <v>0</v>
      </c>
      <c r="E42" s="536">
        <f>折疊車!G42</f>
        <v>0</v>
      </c>
      <c r="F42" s="212">
        <v>0</v>
      </c>
      <c r="G42" s="515">
        <f t="shared" si="1"/>
        <v>0</v>
      </c>
      <c r="H42" s="87">
        <f t="shared" si="5"/>
        <v>0</v>
      </c>
      <c r="I42" s="88">
        <f t="shared" si="6"/>
        <v>0</v>
      </c>
      <c r="J42" s="512">
        <f t="shared" si="4"/>
        <v>0</v>
      </c>
    </row>
    <row r="43" spans="1:10">
      <c r="A43" s="26" t="s">
        <v>221</v>
      </c>
      <c r="B43" s="27">
        <f>折疊車!E43</f>
        <v>0</v>
      </c>
      <c r="C43" s="212">
        <v>0</v>
      </c>
      <c r="D43" s="515">
        <f t="shared" si="0"/>
        <v>0</v>
      </c>
      <c r="E43" s="536">
        <f>折疊車!G43</f>
        <v>0</v>
      </c>
      <c r="F43" s="212">
        <v>0</v>
      </c>
      <c r="G43" s="515">
        <f t="shared" si="1"/>
        <v>0</v>
      </c>
      <c r="H43" s="87">
        <f t="shared" si="5"/>
        <v>0</v>
      </c>
      <c r="I43" s="88">
        <f t="shared" si="6"/>
        <v>0</v>
      </c>
      <c r="J43" s="512">
        <f t="shared" si="4"/>
        <v>0</v>
      </c>
    </row>
    <row r="44" spans="1:10">
      <c r="A44" s="26" t="s">
        <v>222</v>
      </c>
      <c r="B44" s="27">
        <f>折疊車!E44</f>
        <v>0</v>
      </c>
      <c r="C44" s="212">
        <v>0</v>
      </c>
      <c r="D44" s="515">
        <f t="shared" si="0"/>
        <v>0</v>
      </c>
      <c r="E44" s="536">
        <f>折疊車!G44</f>
        <v>0</v>
      </c>
      <c r="F44" s="212">
        <v>0</v>
      </c>
      <c r="G44" s="515">
        <f t="shared" si="1"/>
        <v>0</v>
      </c>
      <c r="H44" s="87">
        <f t="shared" si="5"/>
        <v>0</v>
      </c>
      <c r="I44" s="88">
        <f t="shared" si="6"/>
        <v>0</v>
      </c>
      <c r="J44" s="512">
        <f t="shared" si="4"/>
        <v>0</v>
      </c>
    </row>
    <row r="45" spans="1:10">
      <c r="A45" s="30" t="s">
        <v>21</v>
      </c>
      <c r="B45" s="27">
        <f>折疊車!E45</f>
        <v>0</v>
      </c>
      <c r="C45" s="212">
        <v>0</v>
      </c>
      <c r="D45" s="515">
        <f t="shared" si="0"/>
        <v>0</v>
      </c>
      <c r="E45" s="536">
        <f>折疊車!G45</f>
        <v>0</v>
      </c>
      <c r="F45" s="212">
        <v>0</v>
      </c>
      <c r="G45" s="515">
        <f t="shared" si="1"/>
        <v>0</v>
      </c>
      <c r="H45" s="87">
        <f t="shared" si="5"/>
        <v>0</v>
      </c>
      <c r="I45" s="88">
        <f t="shared" si="6"/>
        <v>0</v>
      </c>
      <c r="J45" s="512">
        <f t="shared" si="4"/>
        <v>0</v>
      </c>
    </row>
    <row r="46" spans="1:10">
      <c r="A46" s="30"/>
      <c r="B46" s="27"/>
      <c r="C46" s="90"/>
      <c r="D46" s="515"/>
      <c r="E46" s="536"/>
      <c r="F46" s="90">
        <f>[6]折疊車出口比較!F46</f>
        <v>0</v>
      </c>
      <c r="G46" s="515"/>
      <c r="H46" s="87"/>
      <c r="I46" s="88"/>
      <c r="J46" s="512"/>
    </row>
    <row r="47" spans="1:10">
      <c r="A47" s="36" t="s">
        <v>22</v>
      </c>
      <c r="B47" s="33">
        <f>SUM(B48:B66)</f>
        <v>3045</v>
      </c>
      <c r="C47" s="91">
        <f>[6]折疊車出口比較!C47</f>
        <v>4167</v>
      </c>
      <c r="D47" s="515">
        <f t="shared" si="0"/>
        <v>-0.26925845932325415</v>
      </c>
      <c r="E47" s="537">
        <f>SUM(E48:E66)</f>
        <v>2267533</v>
      </c>
      <c r="F47" s="90">
        <f>[6]折疊車出口比較!F47</f>
        <v>2728101</v>
      </c>
      <c r="G47" s="549">
        <f t="shared" si="1"/>
        <v>-0.16882366158730927</v>
      </c>
      <c r="H47" s="87">
        <f t="shared" si="5"/>
        <v>744.67422003284071</v>
      </c>
      <c r="I47" s="521">
        <f t="shared" si="6"/>
        <v>654.69186465082794</v>
      </c>
      <c r="J47" s="512">
        <f t="shared" si="4"/>
        <v>0.1374422995618004</v>
      </c>
    </row>
    <row r="48" spans="1:10">
      <c r="A48" s="485" t="s">
        <v>163</v>
      </c>
      <c r="B48" s="27">
        <f>折疊車!E48</f>
        <v>0</v>
      </c>
      <c r="C48" s="212">
        <f>VLOOKUP(A48,[12]進出口值表查詢結果!$A$1:$C$17,3,0)</f>
        <v>1100</v>
      </c>
      <c r="D48" s="515">
        <f t="shared" si="0"/>
        <v>-1</v>
      </c>
      <c r="E48" s="536">
        <f>折疊車!G48</f>
        <v>0</v>
      </c>
      <c r="F48" s="212">
        <f>VLOOKUP(A48,[12]進出口值表查詢結果!$A$1:$C$17,2,0)</f>
        <v>256408</v>
      </c>
      <c r="G48" s="515">
        <f t="shared" si="1"/>
        <v>-1</v>
      </c>
      <c r="H48" s="87">
        <f t="shared" si="5"/>
        <v>0</v>
      </c>
      <c r="I48" s="88">
        <f t="shared" si="6"/>
        <v>233.09818181818181</v>
      </c>
      <c r="J48" s="512">
        <f t="shared" si="4"/>
        <v>-1</v>
      </c>
    </row>
    <row r="49" spans="1:10">
      <c r="A49" s="453" t="s">
        <v>223</v>
      </c>
      <c r="B49" s="27">
        <f>折疊車!E49</f>
        <v>725</v>
      </c>
      <c r="C49" s="212">
        <f>VLOOKUP(A49,[12]進出口值表查詢結果!$A$1:$C$17,3,0)</f>
        <v>402</v>
      </c>
      <c r="D49" s="515">
        <f t="shared" si="0"/>
        <v>0.80348258706467657</v>
      </c>
      <c r="E49" s="536">
        <f>折疊車!G49</f>
        <v>552837</v>
      </c>
      <c r="F49" s="212">
        <f>VLOOKUP(A49,[12]進出口值表查詢結果!$A$1:$C$17,2,0)</f>
        <v>280951</v>
      </c>
      <c r="G49" s="515">
        <f t="shared" si="1"/>
        <v>0.96773458717000471</v>
      </c>
      <c r="H49" s="87">
        <f t="shared" si="5"/>
        <v>762.53379310344826</v>
      </c>
      <c r="I49" s="88">
        <f t="shared" si="6"/>
        <v>698.88308457711446</v>
      </c>
      <c r="J49" s="512">
        <f t="shared" si="4"/>
        <v>9.1074902127368074E-2</v>
      </c>
    </row>
    <row r="50" spans="1:10">
      <c r="A50" s="291" t="s">
        <v>224</v>
      </c>
      <c r="B50" s="27">
        <f>折疊車!E50</f>
        <v>0</v>
      </c>
      <c r="C50" s="212">
        <v>0</v>
      </c>
      <c r="D50" s="515">
        <f t="shared" si="0"/>
        <v>0</v>
      </c>
      <c r="E50" s="536">
        <f>折疊車!G50</f>
        <v>0</v>
      </c>
      <c r="F50" s="212">
        <v>0</v>
      </c>
      <c r="G50" s="515">
        <f t="shared" si="1"/>
        <v>0</v>
      </c>
      <c r="H50" s="87">
        <f t="shared" si="5"/>
        <v>0</v>
      </c>
      <c r="I50" s="88">
        <f t="shared" si="6"/>
        <v>0</v>
      </c>
      <c r="J50" s="512">
        <f t="shared" si="4"/>
        <v>0</v>
      </c>
    </row>
    <row r="51" spans="1:10">
      <c r="A51" s="453" t="s">
        <v>225</v>
      </c>
      <c r="B51" s="27">
        <f>折疊車!E51</f>
        <v>0</v>
      </c>
      <c r="C51" s="212">
        <v>0</v>
      </c>
      <c r="D51" s="515">
        <f t="shared" si="0"/>
        <v>0</v>
      </c>
      <c r="E51" s="536">
        <f>折疊車!G51</f>
        <v>0</v>
      </c>
      <c r="F51" s="212">
        <v>0</v>
      </c>
      <c r="G51" s="515">
        <f t="shared" si="1"/>
        <v>0</v>
      </c>
      <c r="H51" s="87">
        <f t="shared" si="5"/>
        <v>0</v>
      </c>
      <c r="I51" s="88">
        <f t="shared" si="6"/>
        <v>0</v>
      </c>
      <c r="J51" s="512">
        <f t="shared" si="4"/>
        <v>0</v>
      </c>
    </row>
    <row r="52" spans="1:10">
      <c r="A52" s="454" t="s">
        <v>23</v>
      </c>
      <c r="B52" s="27">
        <f>折疊車!E52</f>
        <v>0</v>
      </c>
      <c r="C52" s="212">
        <v>0</v>
      </c>
      <c r="D52" s="515">
        <f t="shared" si="0"/>
        <v>0</v>
      </c>
      <c r="E52" s="536">
        <f>折疊車!G52</f>
        <v>0</v>
      </c>
      <c r="F52" s="212">
        <v>0</v>
      </c>
      <c r="G52" s="515">
        <f t="shared" si="1"/>
        <v>0</v>
      </c>
      <c r="H52" s="87">
        <f t="shared" si="5"/>
        <v>0</v>
      </c>
      <c r="I52" s="88">
        <f t="shared" si="6"/>
        <v>0</v>
      </c>
      <c r="J52" s="512">
        <f t="shared" si="4"/>
        <v>0</v>
      </c>
    </row>
    <row r="53" spans="1:10">
      <c r="A53" s="453" t="s">
        <v>226</v>
      </c>
      <c r="B53" s="27">
        <f>折疊車!E53</f>
        <v>0</v>
      </c>
      <c r="C53" s="212">
        <v>0</v>
      </c>
      <c r="D53" s="515">
        <f t="shared" si="0"/>
        <v>0</v>
      </c>
      <c r="E53" s="536">
        <f>折疊車!G53</f>
        <v>0</v>
      </c>
      <c r="F53" s="212">
        <v>0</v>
      </c>
      <c r="G53" s="515">
        <f t="shared" si="1"/>
        <v>0</v>
      </c>
      <c r="H53" s="87">
        <f t="shared" si="5"/>
        <v>0</v>
      </c>
      <c r="I53" s="88">
        <f t="shared" si="6"/>
        <v>0</v>
      </c>
      <c r="J53" s="512">
        <f t="shared" si="4"/>
        <v>0</v>
      </c>
    </row>
    <row r="54" spans="1:10">
      <c r="A54" s="454" t="s">
        <v>227</v>
      </c>
      <c r="B54" s="27">
        <f>折疊車!E54</f>
        <v>31</v>
      </c>
      <c r="C54" s="212">
        <f>VLOOKUP(A54,[12]進出口值表查詢結果!$A$1:$C$17,3,0)</f>
        <v>42</v>
      </c>
      <c r="D54" s="515">
        <f t="shared" si="0"/>
        <v>-0.26190476190476192</v>
      </c>
      <c r="E54" s="536">
        <f>折疊車!G54</f>
        <v>14557</v>
      </c>
      <c r="F54" s="212">
        <f>VLOOKUP(A54,[12]進出口值表查詢結果!$A$1:$C$17,2,0)</f>
        <v>37591</v>
      </c>
      <c r="G54" s="515">
        <f t="shared" si="1"/>
        <v>-0.61275305259237578</v>
      </c>
      <c r="H54" s="87">
        <f t="shared" si="5"/>
        <v>469.58064516129031</v>
      </c>
      <c r="I54" s="88">
        <f t="shared" si="6"/>
        <v>895.02380952380952</v>
      </c>
      <c r="J54" s="512">
        <f t="shared" si="4"/>
        <v>-0.47534284544773503</v>
      </c>
    </row>
    <row r="55" spans="1:10">
      <c r="A55" s="454" t="s">
        <v>24</v>
      </c>
      <c r="B55" s="27">
        <f>折疊車!E55</f>
        <v>0</v>
      </c>
      <c r="C55" s="212">
        <v>0</v>
      </c>
      <c r="D55" s="515">
        <f t="shared" si="0"/>
        <v>0</v>
      </c>
      <c r="E55" s="536">
        <f>折疊車!G55</f>
        <v>0</v>
      </c>
      <c r="F55" s="212">
        <v>0</v>
      </c>
      <c r="G55" s="515">
        <f t="shared" si="1"/>
        <v>0</v>
      </c>
      <c r="H55" s="87">
        <f t="shared" si="5"/>
        <v>0</v>
      </c>
      <c r="I55" s="88">
        <f t="shared" si="6"/>
        <v>0</v>
      </c>
      <c r="J55" s="512">
        <f t="shared" si="4"/>
        <v>0</v>
      </c>
    </row>
    <row r="56" spans="1:10">
      <c r="A56" s="454" t="s">
        <v>228</v>
      </c>
      <c r="B56" s="27">
        <f>折疊車!E56</f>
        <v>578</v>
      </c>
      <c r="C56" s="212">
        <f>VLOOKUP(A56,[12]進出口值表查詢結果!$A$1:$C$17,3,0)</f>
        <v>525</v>
      </c>
      <c r="D56" s="515">
        <f t="shared" si="0"/>
        <v>0.10095238095238095</v>
      </c>
      <c r="E56" s="536">
        <f>折疊車!G56</f>
        <v>597090</v>
      </c>
      <c r="F56" s="212">
        <f>VLOOKUP(A56,[12]進出口值表查詢結果!$A$1:$C$17,2,0)</f>
        <v>472424</v>
      </c>
      <c r="G56" s="549">
        <f t="shared" si="1"/>
        <v>0.26388583137181854</v>
      </c>
      <c r="H56" s="87">
        <f t="shared" si="5"/>
        <v>1033.0276816608996</v>
      </c>
      <c r="I56" s="88">
        <f t="shared" si="6"/>
        <v>899.85523809523806</v>
      </c>
      <c r="J56" s="512">
        <f t="shared" si="4"/>
        <v>0.14799318593461022</v>
      </c>
    </row>
    <row r="57" spans="1:10">
      <c r="A57" s="456" t="s">
        <v>456</v>
      </c>
      <c r="B57" s="27">
        <f>折疊車!E57</f>
        <v>1150</v>
      </c>
      <c r="C57" s="212">
        <f>VLOOKUP(A57,[12]進出口值表查詢結果!$A$1:$C$17,3,0)</f>
        <v>1346</v>
      </c>
      <c r="D57" s="515">
        <f t="shared" si="0"/>
        <v>-0.14561664190193166</v>
      </c>
      <c r="E57" s="536">
        <f>折疊車!G57</f>
        <v>789541</v>
      </c>
      <c r="F57" s="212">
        <f>VLOOKUP(A57,[12]進出口值表查詢結果!$A$1:$C$17,2,0)</f>
        <v>1200576</v>
      </c>
      <c r="G57" s="549">
        <f t="shared" si="1"/>
        <v>-0.34236483154752384</v>
      </c>
      <c r="H57" s="87">
        <f t="shared" si="5"/>
        <v>686.55739130434779</v>
      </c>
      <c r="I57" s="88">
        <f t="shared" si="6"/>
        <v>891.95839524517089</v>
      </c>
      <c r="J57" s="512">
        <f t="shared" si="4"/>
        <v>-0.23028092457649318</v>
      </c>
    </row>
    <row r="58" spans="1:10">
      <c r="A58" s="294" t="s">
        <v>383</v>
      </c>
      <c r="B58" s="27">
        <f>折疊車!E58</f>
        <v>136</v>
      </c>
      <c r="C58" s="212">
        <f>VLOOKUP(A58,[12]進出口值表查詢結果!$A$1:$C$17,3,0)</f>
        <v>234</v>
      </c>
      <c r="D58" s="515">
        <f t="shared" si="0"/>
        <v>-0.41880341880341881</v>
      </c>
      <c r="E58" s="536">
        <f>折疊車!G58</f>
        <v>137217</v>
      </c>
      <c r="F58" s="212">
        <f>VLOOKUP(A58,[12]進出口值表查詢結果!$A$1:$C$17,2,0)</f>
        <v>240706</v>
      </c>
      <c r="G58" s="549">
        <f t="shared" si="1"/>
        <v>-0.42993942818209768</v>
      </c>
      <c r="H58" s="87">
        <f t="shared" si="5"/>
        <v>1008.9485294117648</v>
      </c>
      <c r="I58" s="88">
        <f t="shared" si="6"/>
        <v>1028.6581196581196</v>
      </c>
      <c r="J58" s="512">
        <f t="shared" si="4"/>
        <v>-1.916048672507973E-2</v>
      </c>
    </row>
    <row r="59" spans="1:10">
      <c r="A59" s="454" t="s">
        <v>25</v>
      </c>
      <c r="B59" s="27">
        <f>折疊車!E59</f>
        <v>420</v>
      </c>
      <c r="C59" s="212">
        <f>VLOOKUP(A59,[12]進出口值表查詢結果!$A$1:$C$17,3,0)</f>
        <v>440</v>
      </c>
      <c r="D59" s="515">
        <f t="shared" si="0"/>
        <v>-4.5454545454545456E-2</v>
      </c>
      <c r="E59" s="536">
        <f>折疊車!G59</f>
        <v>176030</v>
      </c>
      <c r="F59" s="212">
        <f>VLOOKUP(A59,[12]進出口值表查詢結果!$A$1:$C$17,2,0)</f>
        <v>139662</v>
      </c>
      <c r="G59" s="515">
        <f t="shared" si="1"/>
        <v>0.26040010883418541</v>
      </c>
      <c r="H59" s="87">
        <f t="shared" si="5"/>
        <v>419.11904761904759</v>
      </c>
      <c r="I59" s="88">
        <f t="shared" si="6"/>
        <v>317.41363636363639</v>
      </c>
      <c r="J59" s="512">
        <f t="shared" si="4"/>
        <v>0.32041916163581308</v>
      </c>
    </row>
    <row r="60" spans="1:10">
      <c r="A60" s="454" t="s">
        <v>26</v>
      </c>
      <c r="B60" s="27">
        <f>折疊車!E60</f>
        <v>0</v>
      </c>
      <c r="C60" s="212">
        <v>0</v>
      </c>
      <c r="D60" s="515">
        <f t="shared" si="0"/>
        <v>0</v>
      </c>
      <c r="E60" s="536">
        <f>折疊車!G60</f>
        <v>0</v>
      </c>
      <c r="F60" s="212">
        <v>0</v>
      </c>
      <c r="G60" s="515">
        <f t="shared" si="1"/>
        <v>0</v>
      </c>
      <c r="H60" s="87">
        <f t="shared" si="5"/>
        <v>0</v>
      </c>
      <c r="I60" s="88">
        <f t="shared" si="6"/>
        <v>0</v>
      </c>
      <c r="J60" s="512">
        <f t="shared" si="4"/>
        <v>0</v>
      </c>
    </row>
    <row r="61" spans="1:10">
      <c r="A61" s="454" t="s">
        <v>27</v>
      </c>
      <c r="B61" s="27">
        <f>折疊車!E61</f>
        <v>0</v>
      </c>
      <c r="C61" s="212">
        <v>0</v>
      </c>
      <c r="D61" s="515">
        <f t="shared" si="0"/>
        <v>0</v>
      </c>
      <c r="E61" s="536">
        <f>折疊車!G61</f>
        <v>0</v>
      </c>
      <c r="F61" s="212">
        <v>0</v>
      </c>
      <c r="G61" s="515">
        <f t="shared" si="1"/>
        <v>0</v>
      </c>
      <c r="H61" s="87">
        <f t="shared" si="5"/>
        <v>0</v>
      </c>
      <c r="I61" s="88">
        <f t="shared" si="6"/>
        <v>0</v>
      </c>
      <c r="J61" s="512">
        <f t="shared" si="4"/>
        <v>0</v>
      </c>
    </row>
    <row r="62" spans="1:10">
      <c r="A62" s="294" t="s">
        <v>229</v>
      </c>
      <c r="B62" s="27">
        <f>折疊車!E62</f>
        <v>0</v>
      </c>
      <c r="C62" s="212">
        <v>0</v>
      </c>
      <c r="D62" s="515">
        <f t="shared" si="0"/>
        <v>0</v>
      </c>
      <c r="E62" s="536">
        <f>折疊車!G62</f>
        <v>0</v>
      </c>
      <c r="F62" s="212">
        <v>0</v>
      </c>
      <c r="G62" s="515">
        <f t="shared" si="1"/>
        <v>0</v>
      </c>
      <c r="H62" s="87">
        <f t="shared" si="5"/>
        <v>0</v>
      </c>
      <c r="I62" s="88">
        <f t="shared" si="6"/>
        <v>0</v>
      </c>
      <c r="J62" s="512">
        <f t="shared" si="4"/>
        <v>0</v>
      </c>
    </row>
    <row r="63" spans="1:10">
      <c r="A63" s="454" t="s">
        <v>28</v>
      </c>
      <c r="B63" s="27">
        <f>折疊車!E63</f>
        <v>0</v>
      </c>
      <c r="C63" s="212">
        <v>0</v>
      </c>
      <c r="D63" s="515">
        <f t="shared" si="0"/>
        <v>0</v>
      </c>
      <c r="E63" s="536">
        <f>折疊車!G63</f>
        <v>0</v>
      </c>
      <c r="F63" s="212">
        <v>0</v>
      </c>
      <c r="G63" s="515">
        <f t="shared" si="1"/>
        <v>0</v>
      </c>
      <c r="H63" s="87">
        <f t="shared" si="5"/>
        <v>0</v>
      </c>
      <c r="I63" s="88">
        <f t="shared" si="6"/>
        <v>0</v>
      </c>
      <c r="J63" s="512">
        <f t="shared" si="4"/>
        <v>0</v>
      </c>
    </row>
    <row r="64" spans="1:10">
      <c r="A64" s="294" t="s">
        <v>230</v>
      </c>
      <c r="B64" s="27">
        <f>折疊車!E64</f>
        <v>0</v>
      </c>
      <c r="C64" s="212">
        <v>0</v>
      </c>
      <c r="D64" s="515">
        <f t="shared" si="0"/>
        <v>0</v>
      </c>
      <c r="E64" s="536">
        <f>折疊車!G64</f>
        <v>0</v>
      </c>
      <c r="F64" s="212">
        <v>0</v>
      </c>
      <c r="G64" s="515">
        <f t="shared" si="1"/>
        <v>0</v>
      </c>
      <c r="H64" s="87">
        <f t="shared" si="5"/>
        <v>0</v>
      </c>
      <c r="I64" s="88">
        <f t="shared" si="6"/>
        <v>0</v>
      </c>
      <c r="J64" s="512">
        <f t="shared" si="4"/>
        <v>0</v>
      </c>
    </row>
    <row r="65" spans="1:10">
      <c r="A65" s="454" t="s">
        <v>29</v>
      </c>
      <c r="B65" s="27">
        <f>折疊車!E65</f>
        <v>0</v>
      </c>
      <c r="C65" s="212">
        <f>VLOOKUP(A65,[12]進出口值表查詢結果!$A$1:$C$17,3,0)</f>
        <v>78</v>
      </c>
      <c r="D65" s="515">
        <f t="shared" si="0"/>
        <v>-1</v>
      </c>
      <c r="E65" s="536">
        <f>折疊車!G65</f>
        <v>0</v>
      </c>
      <c r="F65" s="212">
        <f>VLOOKUP(A65,[12]進出口值表查詢結果!$A$1:$C$17,2,0)</f>
        <v>99783</v>
      </c>
      <c r="G65" s="515">
        <f t="shared" si="1"/>
        <v>-1</v>
      </c>
      <c r="H65" s="87">
        <f t="shared" si="5"/>
        <v>0</v>
      </c>
      <c r="I65" s="88">
        <f t="shared" si="6"/>
        <v>1279.2692307692307</v>
      </c>
      <c r="J65" s="512">
        <f t="shared" si="4"/>
        <v>-1</v>
      </c>
    </row>
    <row r="66" spans="1:10">
      <c r="A66" s="294" t="s">
        <v>231</v>
      </c>
      <c r="B66" s="27">
        <f>折疊車!E66</f>
        <v>5</v>
      </c>
      <c r="C66" s="212">
        <v>0</v>
      </c>
      <c r="D66" s="515">
        <f t="shared" si="0"/>
        <v>0</v>
      </c>
      <c r="E66" s="536">
        <f>折疊車!G66</f>
        <v>261</v>
      </c>
      <c r="F66" s="212">
        <v>0</v>
      </c>
      <c r="G66" s="515">
        <f t="shared" si="1"/>
        <v>0</v>
      </c>
      <c r="H66" s="87">
        <f t="shared" si="5"/>
        <v>52.2</v>
      </c>
      <c r="I66" s="521">
        <f t="shared" si="6"/>
        <v>0</v>
      </c>
      <c r="J66" s="548">
        <f t="shared" si="4"/>
        <v>0</v>
      </c>
    </row>
    <row r="67" spans="1:10">
      <c r="A67" s="30" t="s">
        <v>30</v>
      </c>
      <c r="B67" s="27">
        <f>B68-B47-B41-B12-B7</f>
        <v>4</v>
      </c>
      <c r="C67" s="90">
        <f>[6]折疊車出口比較!C67</f>
        <v>300</v>
      </c>
      <c r="D67" s="515">
        <f t="shared" si="0"/>
        <v>-0.98666666666666669</v>
      </c>
      <c r="E67" s="536">
        <f>折疊車!G67</f>
        <v>1316</v>
      </c>
      <c r="F67" s="90">
        <f>[6]折疊車出口比較!F67</f>
        <v>170938</v>
      </c>
      <c r="G67" s="549">
        <f t="shared" si="1"/>
        <v>-0.99230130222653823</v>
      </c>
      <c r="H67" s="87">
        <f t="shared" si="5"/>
        <v>329</v>
      </c>
      <c r="I67" s="521">
        <f t="shared" si="6"/>
        <v>569.79333333333329</v>
      </c>
      <c r="J67" s="548">
        <f t="shared" si="4"/>
        <v>-0.42259766699037071</v>
      </c>
    </row>
    <row r="68" spans="1:10">
      <c r="A68" s="32" t="s">
        <v>401</v>
      </c>
      <c r="B68" s="33">
        <f>折疊車!E68</f>
        <v>3128</v>
      </c>
      <c r="C68" s="212">
        <f>VLOOKUP(A68,[12]進出口值表查詢結果!$A$1:$C$17,3,0)</f>
        <v>5290</v>
      </c>
      <c r="D68" s="515">
        <f t="shared" si="0"/>
        <v>-0.40869565217391307</v>
      </c>
      <c r="E68" s="536">
        <f>折疊車!G68</f>
        <v>2323040</v>
      </c>
      <c r="F68" s="212">
        <f>VLOOKUP(A68,[12]進出口值表查詢結果!$A$1:$C$17,2,0)</f>
        <v>3578233</v>
      </c>
      <c r="G68" s="549">
        <f t="shared" si="1"/>
        <v>-0.35078570903571676</v>
      </c>
      <c r="H68" s="87">
        <f t="shared" ref="H68" si="7">E68/B68</f>
        <v>742.6598465473146</v>
      </c>
      <c r="I68" s="521">
        <f>F68/C68</f>
        <v>676.41455576559542</v>
      </c>
      <c r="J68" s="548">
        <f t="shared" si="4"/>
        <v>9.7935933248420232E-2</v>
      </c>
    </row>
    <row r="69" spans="1:10" ht="6" customHeight="1">
      <c r="A69" s="38"/>
      <c r="B69" s="39"/>
      <c r="C69" s="151"/>
      <c r="D69" s="213"/>
      <c r="E69" s="538"/>
      <c r="F69" s="151"/>
      <c r="G69" s="213"/>
    </row>
    <row r="70" spans="1:10" ht="12.75" customHeight="1">
      <c r="A70" s="55" t="s">
        <v>57</v>
      </c>
      <c r="B70" s="13"/>
      <c r="E70" s="539"/>
      <c r="G70" s="60" t="s">
        <v>119</v>
      </c>
    </row>
  </sheetData>
  <phoneticPr fontId="3" type="noConversion"/>
  <conditionalFormatting sqref="D4">
    <cfRule type="cellIs" dxfId="62" priority="3" operator="greaterThanOrEqual">
      <formula>0</formula>
    </cfRule>
    <cfRule type="cellIs" dxfId="61" priority="4" operator="lessThan">
      <formula>0</formula>
    </cfRule>
  </conditionalFormatting>
  <conditionalFormatting sqref="G4">
    <cfRule type="cellIs" dxfId="60" priority="1" operator="greaterThanOrEqual">
      <formula>0</formula>
    </cfRule>
    <cfRule type="cellIs" dxfId="59" priority="2" operator="lessThan">
      <formula>0</formula>
    </cfRule>
  </conditionalFormatting>
  <conditionalFormatting sqref="J1:J3 J6:J1048576">
    <cfRule type="cellIs" dxfId="58" priority="5" operator="greaterThanOrEqual">
      <formula>0</formula>
    </cfRule>
    <cfRule type="cellIs" dxfId="57" priority="6" operator="lessThan">
      <formula>0</formula>
    </cfRule>
  </conditionalFormatting>
  <pageMargins left="0.51181102362204722" right="0.51181102362204722" top="0.55118110236220474" bottom="0.35433070866141736" header="0.31496062992125984" footer="0.31496062992125984"/>
  <pageSetup paperSize="9" scale="6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67"/>
  <sheetViews>
    <sheetView zoomScaleNormal="100" workbookViewId="0">
      <selection activeCell="A2" sqref="A2"/>
    </sheetView>
  </sheetViews>
  <sheetFormatPr defaultRowHeight="16.5"/>
  <cols>
    <col min="1" max="1" width="17.125" style="5" customWidth="1"/>
    <col min="2" max="2" width="16.125" style="5" customWidth="1"/>
    <col min="3" max="3" width="17.5" style="5" customWidth="1"/>
    <col min="4" max="4" width="13.875" style="5" customWidth="1"/>
    <col min="5" max="5" width="15.25" style="5" customWidth="1"/>
    <col min="6" max="6" width="10.25" style="5" customWidth="1"/>
    <col min="7" max="7" width="18.25" style="5" customWidth="1"/>
    <col min="8" max="8" width="10.375" style="5" customWidth="1"/>
    <col min="9" max="9" width="11.375" style="5" customWidth="1"/>
    <col min="10" max="256" width="8.875" style="5"/>
    <col min="257" max="257" width="17.125" style="5" customWidth="1"/>
    <col min="258" max="258" width="10.75" style="5" customWidth="1"/>
    <col min="259" max="259" width="15.125" style="5" customWidth="1"/>
    <col min="260" max="260" width="10.5" style="5" customWidth="1"/>
    <col min="261" max="261" width="12.375" style="5" customWidth="1"/>
    <col min="262" max="262" width="9.5" style="5" customWidth="1"/>
    <col min="263" max="263" width="16.875" style="5" customWidth="1"/>
    <col min="264" max="264" width="10.125" style="5" customWidth="1"/>
    <col min="265" max="265" width="11.375" style="5" customWidth="1"/>
    <col min="266" max="512" width="8.875" style="5"/>
    <col min="513" max="513" width="17.125" style="5" customWidth="1"/>
    <col min="514" max="514" width="10.75" style="5" customWidth="1"/>
    <col min="515" max="515" width="15.125" style="5" customWidth="1"/>
    <col min="516" max="516" width="10.5" style="5" customWidth="1"/>
    <col min="517" max="517" width="12.375" style="5" customWidth="1"/>
    <col min="518" max="518" width="9.5" style="5" customWidth="1"/>
    <col min="519" max="519" width="16.875" style="5" customWidth="1"/>
    <col min="520" max="520" width="10.125" style="5" customWidth="1"/>
    <col min="521" max="521" width="11.375" style="5" customWidth="1"/>
    <col min="522" max="768" width="8.875" style="5"/>
    <col min="769" max="769" width="17.125" style="5" customWidth="1"/>
    <col min="770" max="770" width="10.75" style="5" customWidth="1"/>
    <col min="771" max="771" width="15.125" style="5" customWidth="1"/>
    <col min="772" max="772" width="10.5" style="5" customWidth="1"/>
    <col min="773" max="773" width="12.375" style="5" customWidth="1"/>
    <col min="774" max="774" width="9.5" style="5" customWidth="1"/>
    <col min="775" max="775" width="16.875" style="5" customWidth="1"/>
    <col min="776" max="776" width="10.125" style="5" customWidth="1"/>
    <col min="777" max="777" width="11.375" style="5" customWidth="1"/>
    <col min="778" max="1024" width="8.875" style="5"/>
    <col min="1025" max="1025" width="17.125" style="5" customWidth="1"/>
    <col min="1026" max="1026" width="10.75" style="5" customWidth="1"/>
    <col min="1027" max="1027" width="15.125" style="5" customWidth="1"/>
    <col min="1028" max="1028" width="10.5" style="5" customWidth="1"/>
    <col min="1029" max="1029" width="12.375" style="5" customWidth="1"/>
    <col min="1030" max="1030" width="9.5" style="5" customWidth="1"/>
    <col min="1031" max="1031" width="16.875" style="5" customWidth="1"/>
    <col min="1032" max="1032" width="10.125" style="5" customWidth="1"/>
    <col min="1033" max="1033" width="11.375" style="5" customWidth="1"/>
    <col min="1034" max="1280" width="8.875" style="5"/>
    <col min="1281" max="1281" width="17.125" style="5" customWidth="1"/>
    <col min="1282" max="1282" width="10.75" style="5" customWidth="1"/>
    <col min="1283" max="1283" width="15.125" style="5" customWidth="1"/>
    <col min="1284" max="1284" width="10.5" style="5" customWidth="1"/>
    <col min="1285" max="1285" width="12.375" style="5" customWidth="1"/>
    <col min="1286" max="1286" width="9.5" style="5" customWidth="1"/>
    <col min="1287" max="1287" width="16.875" style="5" customWidth="1"/>
    <col min="1288" max="1288" width="10.125" style="5" customWidth="1"/>
    <col min="1289" max="1289" width="11.375" style="5" customWidth="1"/>
    <col min="1290" max="1536" width="8.875" style="5"/>
    <col min="1537" max="1537" width="17.125" style="5" customWidth="1"/>
    <col min="1538" max="1538" width="10.75" style="5" customWidth="1"/>
    <col min="1539" max="1539" width="15.125" style="5" customWidth="1"/>
    <col min="1540" max="1540" width="10.5" style="5" customWidth="1"/>
    <col min="1541" max="1541" width="12.375" style="5" customWidth="1"/>
    <col min="1542" max="1542" width="9.5" style="5" customWidth="1"/>
    <col min="1543" max="1543" width="16.875" style="5" customWidth="1"/>
    <col min="1544" max="1544" width="10.125" style="5" customWidth="1"/>
    <col min="1545" max="1545" width="11.375" style="5" customWidth="1"/>
    <col min="1546" max="1792" width="8.875" style="5"/>
    <col min="1793" max="1793" width="17.125" style="5" customWidth="1"/>
    <col min="1794" max="1794" width="10.75" style="5" customWidth="1"/>
    <col min="1795" max="1795" width="15.125" style="5" customWidth="1"/>
    <col min="1796" max="1796" width="10.5" style="5" customWidth="1"/>
    <col min="1797" max="1797" width="12.375" style="5" customWidth="1"/>
    <col min="1798" max="1798" width="9.5" style="5" customWidth="1"/>
    <col min="1799" max="1799" width="16.875" style="5" customWidth="1"/>
    <col min="1800" max="1800" width="10.125" style="5" customWidth="1"/>
    <col min="1801" max="1801" width="11.375" style="5" customWidth="1"/>
    <col min="1802" max="2048" width="8.875" style="5"/>
    <col min="2049" max="2049" width="17.125" style="5" customWidth="1"/>
    <col min="2050" max="2050" width="10.75" style="5" customWidth="1"/>
    <col min="2051" max="2051" width="15.125" style="5" customWidth="1"/>
    <col min="2052" max="2052" width="10.5" style="5" customWidth="1"/>
    <col min="2053" max="2053" width="12.375" style="5" customWidth="1"/>
    <col min="2054" max="2054" width="9.5" style="5" customWidth="1"/>
    <col min="2055" max="2055" width="16.875" style="5" customWidth="1"/>
    <col min="2056" max="2056" width="10.125" style="5" customWidth="1"/>
    <col min="2057" max="2057" width="11.375" style="5" customWidth="1"/>
    <col min="2058" max="2304" width="8.875" style="5"/>
    <col min="2305" max="2305" width="17.125" style="5" customWidth="1"/>
    <col min="2306" max="2306" width="10.75" style="5" customWidth="1"/>
    <col min="2307" max="2307" width="15.125" style="5" customWidth="1"/>
    <col min="2308" max="2308" width="10.5" style="5" customWidth="1"/>
    <col min="2309" max="2309" width="12.375" style="5" customWidth="1"/>
    <col min="2310" max="2310" width="9.5" style="5" customWidth="1"/>
    <col min="2311" max="2311" width="16.875" style="5" customWidth="1"/>
    <col min="2312" max="2312" width="10.125" style="5" customWidth="1"/>
    <col min="2313" max="2313" width="11.375" style="5" customWidth="1"/>
    <col min="2314" max="2560" width="8.875" style="5"/>
    <col min="2561" max="2561" width="17.125" style="5" customWidth="1"/>
    <col min="2562" max="2562" width="10.75" style="5" customWidth="1"/>
    <col min="2563" max="2563" width="15.125" style="5" customWidth="1"/>
    <col min="2564" max="2564" width="10.5" style="5" customWidth="1"/>
    <col min="2565" max="2565" width="12.375" style="5" customWidth="1"/>
    <col min="2566" max="2566" width="9.5" style="5" customWidth="1"/>
    <col min="2567" max="2567" width="16.875" style="5" customWidth="1"/>
    <col min="2568" max="2568" width="10.125" style="5" customWidth="1"/>
    <col min="2569" max="2569" width="11.375" style="5" customWidth="1"/>
    <col min="2570" max="2816" width="8.875" style="5"/>
    <col min="2817" max="2817" width="17.125" style="5" customWidth="1"/>
    <col min="2818" max="2818" width="10.75" style="5" customWidth="1"/>
    <col min="2819" max="2819" width="15.125" style="5" customWidth="1"/>
    <col min="2820" max="2820" width="10.5" style="5" customWidth="1"/>
    <col min="2821" max="2821" width="12.375" style="5" customWidth="1"/>
    <col min="2822" max="2822" width="9.5" style="5" customWidth="1"/>
    <col min="2823" max="2823" width="16.875" style="5" customWidth="1"/>
    <col min="2824" max="2824" width="10.125" style="5" customWidth="1"/>
    <col min="2825" max="2825" width="11.375" style="5" customWidth="1"/>
    <col min="2826" max="3072" width="8.875" style="5"/>
    <col min="3073" max="3073" width="17.125" style="5" customWidth="1"/>
    <col min="3074" max="3074" width="10.75" style="5" customWidth="1"/>
    <col min="3075" max="3075" width="15.125" style="5" customWidth="1"/>
    <col min="3076" max="3076" width="10.5" style="5" customWidth="1"/>
    <col min="3077" max="3077" width="12.375" style="5" customWidth="1"/>
    <col min="3078" max="3078" width="9.5" style="5" customWidth="1"/>
    <col min="3079" max="3079" width="16.875" style="5" customWidth="1"/>
    <col min="3080" max="3080" width="10.125" style="5" customWidth="1"/>
    <col min="3081" max="3081" width="11.375" style="5" customWidth="1"/>
    <col min="3082" max="3328" width="8.875" style="5"/>
    <col min="3329" max="3329" width="17.125" style="5" customWidth="1"/>
    <col min="3330" max="3330" width="10.75" style="5" customWidth="1"/>
    <col min="3331" max="3331" width="15.125" style="5" customWidth="1"/>
    <col min="3332" max="3332" width="10.5" style="5" customWidth="1"/>
    <col min="3333" max="3333" width="12.375" style="5" customWidth="1"/>
    <col min="3334" max="3334" width="9.5" style="5" customWidth="1"/>
    <col min="3335" max="3335" width="16.875" style="5" customWidth="1"/>
    <col min="3336" max="3336" width="10.125" style="5" customWidth="1"/>
    <col min="3337" max="3337" width="11.375" style="5" customWidth="1"/>
    <col min="3338" max="3584" width="8.875" style="5"/>
    <col min="3585" max="3585" width="17.125" style="5" customWidth="1"/>
    <col min="3586" max="3586" width="10.75" style="5" customWidth="1"/>
    <col min="3587" max="3587" width="15.125" style="5" customWidth="1"/>
    <col min="3588" max="3588" width="10.5" style="5" customWidth="1"/>
    <col min="3589" max="3589" width="12.375" style="5" customWidth="1"/>
    <col min="3590" max="3590" width="9.5" style="5" customWidth="1"/>
    <col min="3591" max="3591" width="16.875" style="5" customWidth="1"/>
    <col min="3592" max="3592" width="10.125" style="5" customWidth="1"/>
    <col min="3593" max="3593" width="11.375" style="5" customWidth="1"/>
    <col min="3594" max="3840" width="8.875" style="5"/>
    <col min="3841" max="3841" width="17.125" style="5" customWidth="1"/>
    <col min="3842" max="3842" width="10.75" style="5" customWidth="1"/>
    <col min="3843" max="3843" width="15.125" style="5" customWidth="1"/>
    <col min="3844" max="3844" width="10.5" style="5" customWidth="1"/>
    <col min="3845" max="3845" width="12.375" style="5" customWidth="1"/>
    <col min="3846" max="3846" width="9.5" style="5" customWidth="1"/>
    <col min="3847" max="3847" width="16.875" style="5" customWidth="1"/>
    <col min="3848" max="3848" width="10.125" style="5" customWidth="1"/>
    <col min="3849" max="3849" width="11.375" style="5" customWidth="1"/>
    <col min="3850" max="4096" width="8.875" style="5"/>
    <col min="4097" max="4097" width="17.125" style="5" customWidth="1"/>
    <col min="4098" max="4098" width="10.75" style="5" customWidth="1"/>
    <col min="4099" max="4099" width="15.125" style="5" customWidth="1"/>
    <col min="4100" max="4100" width="10.5" style="5" customWidth="1"/>
    <col min="4101" max="4101" width="12.375" style="5" customWidth="1"/>
    <col min="4102" max="4102" width="9.5" style="5" customWidth="1"/>
    <col min="4103" max="4103" width="16.875" style="5" customWidth="1"/>
    <col min="4104" max="4104" width="10.125" style="5" customWidth="1"/>
    <col min="4105" max="4105" width="11.375" style="5" customWidth="1"/>
    <col min="4106" max="4352" width="8.875" style="5"/>
    <col min="4353" max="4353" width="17.125" style="5" customWidth="1"/>
    <col min="4354" max="4354" width="10.75" style="5" customWidth="1"/>
    <col min="4355" max="4355" width="15.125" style="5" customWidth="1"/>
    <col min="4356" max="4356" width="10.5" style="5" customWidth="1"/>
    <col min="4357" max="4357" width="12.375" style="5" customWidth="1"/>
    <col min="4358" max="4358" width="9.5" style="5" customWidth="1"/>
    <col min="4359" max="4359" width="16.875" style="5" customWidth="1"/>
    <col min="4360" max="4360" width="10.125" style="5" customWidth="1"/>
    <col min="4361" max="4361" width="11.375" style="5" customWidth="1"/>
    <col min="4362" max="4608" width="8.875" style="5"/>
    <col min="4609" max="4609" width="17.125" style="5" customWidth="1"/>
    <col min="4610" max="4610" width="10.75" style="5" customWidth="1"/>
    <col min="4611" max="4611" width="15.125" style="5" customWidth="1"/>
    <col min="4612" max="4612" width="10.5" style="5" customWidth="1"/>
    <col min="4613" max="4613" width="12.375" style="5" customWidth="1"/>
    <col min="4614" max="4614" width="9.5" style="5" customWidth="1"/>
    <col min="4615" max="4615" width="16.875" style="5" customWidth="1"/>
    <col min="4616" max="4616" width="10.125" style="5" customWidth="1"/>
    <col min="4617" max="4617" width="11.375" style="5" customWidth="1"/>
    <col min="4618" max="4864" width="8.875" style="5"/>
    <col min="4865" max="4865" width="17.125" style="5" customWidth="1"/>
    <col min="4866" max="4866" width="10.75" style="5" customWidth="1"/>
    <col min="4867" max="4867" width="15.125" style="5" customWidth="1"/>
    <col min="4868" max="4868" width="10.5" style="5" customWidth="1"/>
    <col min="4869" max="4869" width="12.375" style="5" customWidth="1"/>
    <col min="4870" max="4870" width="9.5" style="5" customWidth="1"/>
    <col min="4871" max="4871" width="16.875" style="5" customWidth="1"/>
    <col min="4872" max="4872" width="10.125" style="5" customWidth="1"/>
    <col min="4873" max="4873" width="11.375" style="5" customWidth="1"/>
    <col min="4874" max="5120" width="8.875" style="5"/>
    <col min="5121" max="5121" width="17.125" style="5" customWidth="1"/>
    <col min="5122" max="5122" width="10.75" style="5" customWidth="1"/>
    <col min="5123" max="5123" width="15.125" style="5" customWidth="1"/>
    <col min="5124" max="5124" width="10.5" style="5" customWidth="1"/>
    <col min="5125" max="5125" width="12.375" style="5" customWidth="1"/>
    <col min="5126" max="5126" width="9.5" style="5" customWidth="1"/>
    <col min="5127" max="5127" width="16.875" style="5" customWidth="1"/>
    <col min="5128" max="5128" width="10.125" style="5" customWidth="1"/>
    <col min="5129" max="5129" width="11.375" style="5" customWidth="1"/>
    <col min="5130" max="5376" width="8.875" style="5"/>
    <col min="5377" max="5377" width="17.125" style="5" customWidth="1"/>
    <col min="5378" max="5378" width="10.75" style="5" customWidth="1"/>
    <col min="5379" max="5379" width="15.125" style="5" customWidth="1"/>
    <col min="5380" max="5380" width="10.5" style="5" customWidth="1"/>
    <col min="5381" max="5381" width="12.375" style="5" customWidth="1"/>
    <col min="5382" max="5382" width="9.5" style="5" customWidth="1"/>
    <col min="5383" max="5383" width="16.875" style="5" customWidth="1"/>
    <col min="5384" max="5384" width="10.125" style="5" customWidth="1"/>
    <col min="5385" max="5385" width="11.375" style="5" customWidth="1"/>
    <col min="5386" max="5632" width="8.875" style="5"/>
    <col min="5633" max="5633" width="17.125" style="5" customWidth="1"/>
    <col min="5634" max="5634" width="10.75" style="5" customWidth="1"/>
    <col min="5635" max="5635" width="15.125" style="5" customWidth="1"/>
    <col min="5636" max="5636" width="10.5" style="5" customWidth="1"/>
    <col min="5637" max="5637" width="12.375" style="5" customWidth="1"/>
    <col min="5638" max="5638" width="9.5" style="5" customWidth="1"/>
    <col min="5639" max="5639" width="16.875" style="5" customWidth="1"/>
    <col min="5640" max="5640" width="10.125" style="5" customWidth="1"/>
    <col min="5641" max="5641" width="11.375" style="5" customWidth="1"/>
    <col min="5642" max="5888" width="8.875" style="5"/>
    <col min="5889" max="5889" width="17.125" style="5" customWidth="1"/>
    <col min="5890" max="5890" width="10.75" style="5" customWidth="1"/>
    <col min="5891" max="5891" width="15.125" style="5" customWidth="1"/>
    <col min="5892" max="5892" width="10.5" style="5" customWidth="1"/>
    <col min="5893" max="5893" width="12.375" style="5" customWidth="1"/>
    <col min="5894" max="5894" width="9.5" style="5" customWidth="1"/>
    <col min="5895" max="5895" width="16.875" style="5" customWidth="1"/>
    <col min="5896" max="5896" width="10.125" style="5" customWidth="1"/>
    <col min="5897" max="5897" width="11.375" style="5" customWidth="1"/>
    <col min="5898" max="6144" width="8.875" style="5"/>
    <col min="6145" max="6145" width="17.125" style="5" customWidth="1"/>
    <col min="6146" max="6146" width="10.75" style="5" customWidth="1"/>
    <col min="6147" max="6147" width="15.125" style="5" customWidth="1"/>
    <col min="6148" max="6148" width="10.5" style="5" customWidth="1"/>
    <col min="6149" max="6149" width="12.375" style="5" customWidth="1"/>
    <col min="6150" max="6150" width="9.5" style="5" customWidth="1"/>
    <col min="6151" max="6151" width="16.875" style="5" customWidth="1"/>
    <col min="6152" max="6152" width="10.125" style="5" customWidth="1"/>
    <col min="6153" max="6153" width="11.375" style="5" customWidth="1"/>
    <col min="6154" max="6400" width="8.875" style="5"/>
    <col min="6401" max="6401" width="17.125" style="5" customWidth="1"/>
    <col min="6402" max="6402" width="10.75" style="5" customWidth="1"/>
    <col min="6403" max="6403" width="15.125" style="5" customWidth="1"/>
    <col min="6404" max="6404" width="10.5" style="5" customWidth="1"/>
    <col min="6405" max="6405" width="12.375" style="5" customWidth="1"/>
    <col min="6406" max="6406" width="9.5" style="5" customWidth="1"/>
    <col min="6407" max="6407" width="16.875" style="5" customWidth="1"/>
    <col min="6408" max="6408" width="10.125" style="5" customWidth="1"/>
    <col min="6409" max="6409" width="11.375" style="5" customWidth="1"/>
    <col min="6410" max="6656" width="8.875" style="5"/>
    <col min="6657" max="6657" width="17.125" style="5" customWidth="1"/>
    <col min="6658" max="6658" width="10.75" style="5" customWidth="1"/>
    <col min="6659" max="6659" width="15.125" style="5" customWidth="1"/>
    <col min="6660" max="6660" width="10.5" style="5" customWidth="1"/>
    <col min="6661" max="6661" width="12.375" style="5" customWidth="1"/>
    <col min="6662" max="6662" width="9.5" style="5" customWidth="1"/>
    <col min="6663" max="6663" width="16.875" style="5" customWidth="1"/>
    <col min="6664" max="6664" width="10.125" style="5" customWidth="1"/>
    <col min="6665" max="6665" width="11.375" style="5" customWidth="1"/>
    <col min="6666" max="6912" width="8.875" style="5"/>
    <col min="6913" max="6913" width="17.125" style="5" customWidth="1"/>
    <col min="6914" max="6914" width="10.75" style="5" customWidth="1"/>
    <col min="6915" max="6915" width="15.125" style="5" customWidth="1"/>
    <col min="6916" max="6916" width="10.5" style="5" customWidth="1"/>
    <col min="6917" max="6917" width="12.375" style="5" customWidth="1"/>
    <col min="6918" max="6918" width="9.5" style="5" customWidth="1"/>
    <col min="6919" max="6919" width="16.875" style="5" customWidth="1"/>
    <col min="6920" max="6920" width="10.125" style="5" customWidth="1"/>
    <col min="6921" max="6921" width="11.375" style="5" customWidth="1"/>
    <col min="6922" max="7168" width="8.875" style="5"/>
    <col min="7169" max="7169" width="17.125" style="5" customWidth="1"/>
    <col min="7170" max="7170" width="10.75" style="5" customWidth="1"/>
    <col min="7171" max="7171" width="15.125" style="5" customWidth="1"/>
    <col min="7172" max="7172" width="10.5" style="5" customWidth="1"/>
    <col min="7173" max="7173" width="12.375" style="5" customWidth="1"/>
    <col min="7174" max="7174" width="9.5" style="5" customWidth="1"/>
    <col min="7175" max="7175" width="16.875" style="5" customWidth="1"/>
    <col min="7176" max="7176" width="10.125" style="5" customWidth="1"/>
    <col min="7177" max="7177" width="11.375" style="5" customWidth="1"/>
    <col min="7178" max="7424" width="8.875" style="5"/>
    <col min="7425" max="7425" width="17.125" style="5" customWidth="1"/>
    <col min="7426" max="7426" width="10.75" style="5" customWidth="1"/>
    <col min="7427" max="7427" width="15.125" style="5" customWidth="1"/>
    <col min="7428" max="7428" width="10.5" style="5" customWidth="1"/>
    <col min="7429" max="7429" width="12.375" style="5" customWidth="1"/>
    <col min="7430" max="7430" width="9.5" style="5" customWidth="1"/>
    <col min="7431" max="7431" width="16.875" style="5" customWidth="1"/>
    <col min="7432" max="7432" width="10.125" style="5" customWidth="1"/>
    <col min="7433" max="7433" width="11.375" style="5" customWidth="1"/>
    <col min="7434" max="7680" width="8.875" style="5"/>
    <col min="7681" max="7681" width="17.125" style="5" customWidth="1"/>
    <col min="7682" max="7682" width="10.75" style="5" customWidth="1"/>
    <col min="7683" max="7683" width="15.125" style="5" customWidth="1"/>
    <col min="7684" max="7684" width="10.5" style="5" customWidth="1"/>
    <col min="7685" max="7685" width="12.375" style="5" customWidth="1"/>
    <col min="7686" max="7686" width="9.5" style="5" customWidth="1"/>
    <col min="7687" max="7687" width="16.875" style="5" customWidth="1"/>
    <col min="7688" max="7688" width="10.125" style="5" customWidth="1"/>
    <col min="7689" max="7689" width="11.375" style="5" customWidth="1"/>
    <col min="7690" max="7936" width="8.875" style="5"/>
    <col min="7937" max="7937" width="17.125" style="5" customWidth="1"/>
    <col min="7938" max="7938" width="10.75" style="5" customWidth="1"/>
    <col min="7939" max="7939" width="15.125" style="5" customWidth="1"/>
    <col min="7940" max="7940" width="10.5" style="5" customWidth="1"/>
    <col min="7941" max="7941" width="12.375" style="5" customWidth="1"/>
    <col min="7942" max="7942" width="9.5" style="5" customWidth="1"/>
    <col min="7943" max="7943" width="16.875" style="5" customWidth="1"/>
    <col min="7944" max="7944" width="10.125" style="5" customWidth="1"/>
    <col min="7945" max="7945" width="11.375" style="5" customWidth="1"/>
    <col min="7946" max="8192" width="8.875" style="5"/>
    <col min="8193" max="8193" width="17.125" style="5" customWidth="1"/>
    <col min="8194" max="8194" width="10.75" style="5" customWidth="1"/>
    <col min="8195" max="8195" width="15.125" style="5" customWidth="1"/>
    <col min="8196" max="8196" width="10.5" style="5" customWidth="1"/>
    <col min="8197" max="8197" width="12.375" style="5" customWidth="1"/>
    <col min="8198" max="8198" width="9.5" style="5" customWidth="1"/>
    <col min="8199" max="8199" width="16.875" style="5" customWidth="1"/>
    <col min="8200" max="8200" width="10.125" style="5" customWidth="1"/>
    <col min="8201" max="8201" width="11.375" style="5" customWidth="1"/>
    <col min="8202" max="8448" width="8.875" style="5"/>
    <col min="8449" max="8449" width="17.125" style="5" customWidth="1"/>
    <col min="8450" max="8450" width="10.75" style="5" customWidth="1"/>
    <col min="8451" max="8451" width="15.125" style="5" customWidth="1"/>
    <col min="8452" max="8452" width="10.5" style="5" customWidth="1"/>
    <col min="8453" max="8453" width="12.375" style="5" customWidth="1"/>
    <col min="8454" max="8454" width="9.5" style="5" customWidth="1"/>
    <col min="8455" max="8455" width="16.875" style="5" customWidth="1"/>
    <col min="8456" max="8456" width="10.125" style="5" customWidth="1"/>
    <col min="8457" max="8457" width="11.375" style="5" customWidth="1"/>
    <col min="8458" max="8704" width="8.875" style="5"/>
    <col min="8705" max="8705" width="17.125" style="5" customWidth="1"/>
    <col min="8706" max="8706" width="10.75" style="5" customWidth="1"/>
    <col min="8707" max="8707" width="15.125" style="5" customWidth="1"/>
    <col min="8708" max="8708" width="10.5" style="5" customWidth="1"/>
    <col min="8709" max="8709" width="12.375" style="5" customWidth="1"/>
    <col min="8710" max="8710" width="9.5" style="5" customWidth="1"/>
    <col min="8711" max="8711" width="16.875" style="5" customWidth="1"/>
    <col min="8712" max="8712" width="10.125" style="5" customWidth="1"/>
    <col min="8713" max="8713" width="11.375" style="5" customWidth="1"/>
    <col min="8714" max="8960" width="8.875" style="5"/>
    <col min="8961" max="8961" width="17.125" style="5" customWidth="1"/>
    <col min="8962" max="8962" width="10.75" style="5" customWidth="1"/>
    <col min="8963" max="8963" width="15.125" style="5" customWidth="1"/>
    <col min="8964" max="8964" width="10.5" style="5" customWidth="1"/>
    <col min="8965" max="8965" width="12.375" style="5" customWidth="1"/>
    <col min="8966" max="8966" width="9.5" style="5" customWidth="1"/>
    <col min="8967" max="8967" width="16.875" style="5" customWidth="1"/>
    <col min="8968" max="8968" width="10.125" style="5" customWidth="1"/>
    <col min="8969" max="8969" width="11.375" style="5" customWidth="1"/>
    <col min="8970" max="9216" width="8.875" style="5"/>
    <col min="9217" max="9217" width="17.125" style="5" customWidth="1"/>
    <col min="9218" max="9218" width="10.75" style="5" customWidth="1"/>
    <col min="9219" max="9219" width="15.125" style="5" customWidth="1"/>
    <col min="9220" max="9220" width="10.5" style="5" customWidth="1"/>
    <col min="9221" max="9221" width="12.375" style="5" customWidth="1"/>
    <col min="9222" max="9222" width="9.5" style="5" customWidth="1"/>
    <col min="9223" max="9223" width="16.875" style="5" customWidth="1"/>
    <col min="9224" max="9224" width="10.125" style="5" customWidth="1"/>
    <col min="9225" max="9225" width="11.375" style="5" customWidth="1"/>
    <col min="9226" max="9472" width="8.875" style="5"/>
    <col min="9473" max="9473" width="17.125" style="5" customWidth="1"/>
    <col min="9474" max="9474" width="10.75" style="5" customWidth="1"/>
    <col min="9475" max="9475" width="15.125" style="5" customWidth="1"/>
    <col min="9476" max="9476" width="10.5" style="5" customWidth="1"/>
    <col min="9477" max="9477" width="12.375" style="5" customWidth="1"/>
    <col min="9478" max="9478" width="9.5" style="5" customWidth="1"/>
    <col min="9479" max="9479" width="16.875" style="5" customWidth="1"/>
    <col min="9480" max="9480" width="10.125" style="5" customWidth="1"/>
    <col min="9481" max="9481" width="11.375" style="5" customWidth="1"/>
    <col min="9482" max="9728" width="8.875" style="5"/>
    <col min="9729" max="9729" width="17.125" style="5" customWidth="1"/>
    <col min="9730" max="9730" width="10.75" style="5" customWidth="1"/>
    <col min="9731" max="9731" width="15.125" style="5" customWidth="1"/>
    <col min="9732" max="9732" width="10.5" style="5" customWidth="1"/>
    <col min="9733" max="9733" width="12.375" style="5" customWidth="1"/>
    <col min="9734" max="9734" width="9.5" style="5" customWidth="1"/>
    <col min="9735" max="9735" width="16.875" style="5" customWidth="1"/>
    <col min="9736" max="9736" width="10.125" style="5" customWidth="1"/>
    <col min="9737" max="9737" width="11.375" style="5" customWidth="1"/>
    <col min="9738" max="9984" width="8.875" style="5"/>
    <col min="9985" max="9985" width="17.125" style="5" customWidth="1"/>
    <col min="9986" max="9986" width="10.75" style="5" customWidth="1"/>
    <col min="9987" max="9987" width="15.125" style="5" customWidth="1"/>
    <col min="9988" max="9988" width="10.5" style="5" customWidth="1"/>
    <col min="9989" max="9989" width="12.375" style="5" customWidth="1"/>
    <col min="9990" max="9990" width="9.5" style="5" customWidth="1"/>
    <col min="9991" max="9991" width="16.875" style="5" customWidth="1"/>
    <col min="9992" max="9992" width="10.125" style="5" customWidth="1"/>
    <col min="9993" max="9993" width="11.375" style="5" customWidth="1"/>
    <col min="9994" max="10240" width="8.875" style="5"/>
    <col min="10241" max="10241" width="17.125" style="5" customWidth="1"/>
    <col min="10242" max="10242" width="10.75" style="5" customWidth="1"/>
    <col min="10243" max="10243" width="15.125" style="5" customWidth="1"/>
    <col min="10244" max="10244" width="10.5" style="5" customWidth="1"/>
    <col min="10245" max="10245" width="12.375" style="5" customWidth="1"/>
    <col min="10246" max="10246" width="9.5" style="5" customWidth="1"/>
    <col min="10247" max="10247" width="16.875" style="5" customWidth="1"/>
    <col min="10248" max="10248" width="10.125" style="5" customWidth="1"/>
    <col min="10249" max="10249" width="11.375" style="5" customWidth="1"/>
    <col min="10250" max="10496" width="8.875" style="5"/>
    <col min="10497" max="10497" width="17.125" style="5" customWidth="1"/>
    <col min="10498" max="10498" width="10.75" style="5" customWidth="1"/>
    <col min="10499" max="10499" width="15.125" style="5" customWidth="1"/>
    <col min="10500" max="10500" width="10.5" style="5" customWidth="1"/>
    <col min="10501" max="10501" width="12.375" style="5" customWidth="1"/>
    <col min="10502" max="10502" width="9.5" style="5" customWidth="1"/>
    <col min="10503" max="10503" width="16.875" style="5" customWidth="1"/>
    <col min="10504" max="10504" width="10.125" style="5" customWidth="1"/>
    <col min="10505" max="10505" width="11.375" style="5" customWidth="1"/>
    <col min="10506" max="10752" width="8.875" style="5"/>
    <col min="10753" max="10753" width="17.125" style="5" customWidth="1"/>
    <col min="10754" max="10754" width="10.75" style="5" customWidth="1"/>
    <col min="10755" max="10755" width="15.125" style="5" customWidth="1"/>
    <col min="10756" max="10756" width="10.5" style="5" customWidth="1"/>
    <col min="10757" max="10757" width="12.375" style="5" customWidth="1"/>
    <col min="10758" max="10758" width="9.5" style="5" customWidth="1"/>
    <col min="10759" max="10759" width="16.875" style="5" customWidth="1"/>
    <col min="10760" max="10760" width="10.125" style="5" customWidth="1"/>
    <col min="10761" max="10761" width="11.375" style="5" customWidth="1"/>
    <col min="10762" max="11008" width="8.875" style="5"/>
    <col min="11009" max="11009" width="17.125" style="5" customWidth="1"/>
    <col min="11010" max="11010" width="10.75" style="5" customWidth="1"/>
    <col min="11011" max="11011" width="15.125" style="5" customWidth="1"/>
    <col min="11012" max="11012" width="10.5" style="5" customWidth="1"/>
    <col min="11013" max="11013" width="12.375" style="5" customWidth="1"/>
    <col min="11014" max="11014" width="9.5" style="5" customWidth="1"/>
    <col min="11015" max="11015" width="16.875" style="5" customWidth="1"/>
    <col min="11016" max="11016" width="10.125" style="5" customWidth="1"/>
    <col min="11017" max="11017" width="11.375" style="5" customWidth="1"/>
    <col min="11018" max="11264" width="8.875" style="5"/>
    <col min="11265" max="11265" width="17.125" style="5" customWidth="1"/>
    <col min="11266" max="11266" width="10.75" style="5" customWidth="1"/>
    <col min="11267" max="11267" width="15.125" style="5" customWidth="1"/>
    <col min="11268" max="11268" width="10.5" style="5" customWidth="1"/>
    <col min="11269" max="11269" width="12.375" style="5" customWidth="1"/>
    <col min="11270" max="11270" width="9.5" style="5" customWidth="1"/>
    <col min="11271" max="11271" width="16.875" style="5" customWidth="1"/>
    <col min="11272" max="11272" width="10.125" style="5" customWidth="1"/>
    <col min="11273" max="11273" width="11.375" style="5" customWidth="1"/>
    <col min="11274" max="11520" width="8.875" style="5"/>
    <col min="11521" max="11521" width="17.125" style="5" customWidth="1"/>
    <col min="11522" max="11522" width="10.75" style="5" customWidth="1"/>
    <col min="11523" max="11523" width="15.125" style="5" customWidth="1"/>
    <col min="11524" max="11524" width="10.5" style="5" customWidth="1"/>
    <col min="11525" max="11525" width="12.375" style="5" customWidth="1"/>
    <col min="11526" max="11526" width="9.5" style="5" customWidth="1"/>
    <col min="11527" max="11527" width="16.875" style="5" customWidth="1"/>
    <col min="11528" max="11528" width="10.125" style="5" customWidth="1"/>
    <col min="11529" max="11529" width="11.375" style="5" customWidth="1"/>
    <col min="11530" max="11776" width="8.875" style="5"/>
    <col min="11777" max="11777" width="17.125" style="5" customWidth="1"/>
    <col min="11778" max="11778" width="10.75" style="5" customWidth="1"/>
    <col min="11779" max="11779" width="15.125" style="5" customWidth="1"/>
    <col min="11780" max="11780" width="10.5" style="5" customWidth="1"/>
    <col min="11781" max="11781" width="12.375" style="5" customWidth="1"/>
    <col min="11782" max="11782" width="9.5" style="5" customWidth="1"/>
    <col min="11783" max="11783" width="16.875" style="5" customWidth="1"/>
    <col min="11784" max="11784" width="10.125" style="5" customWidth="1"/>
    <col min="11785" max="11785" width="11.375" style="5" customWidth="1"/>
    <col min="11786" max="12032" width="8.875" style="5"/>
    <col min="12033" max="12033" width="17.125" style="5" customWidth="1"/>
    <col min="12034" max="12034" width="10.75" style="5" customWidth="1"/>
    <col min="12035" max="12035" width="15.125" style="5" customWidth="1"/>
    <col min="12036" max="12036" width="10.5" style="5" customWidth="1"/>
    <col min="12037" max="12037" width="12.375" style="5" customWidth="1"/>
    <col min="12038" max="12038" width="9.5" style="5" customWidth="1"/>
    <col min="12039" max="12039" width="16.875" style="5" customWidth="1"/>
    <col min="12040" max="12040" width="10.125" style="5" customWidth="1"/>
    <col min="12041" max="12041" width="11.375" style="5" customWidth="1"/>
    <col min="12042" max="12288" width="8.875" style="5"/>
    <col min="12289" max="12289" width="17.125" style="5" customWidth="1"/>
    <col min="12290" max="12290" width="10.75" style="5" customWidth="1"/>
    <col min="12291" max="12291" width="15.125" style="5" customWidth="1"/>
    <col min="12292" max="12292" width="10.5" style="5" customWidth="1"/>
    <col min="12293" max="12293" width="12.375" style="5" customWidth="1"/>
    <col min="12294" max="12294" width="9.5" style="5" customWidth="1"/>
    <col min="12295" max="12295" width="16.875" style="5" customWidth="1"/>
    <col min="12296" max="12296" width="10.125" style="5" customWidth="1"/>
    <col min="12297" max="12297" width="11.375" style="5" customWidth="1"/>
    <col min="12298" max="12544" width="8.875" style="5"/>
    <col min="12545" max="12545" width="17.125" style="5" customWidth="1"/>
    <col min="12546" max="12546" width="10.75" style="5" customWidth="1"/>
    <col min="12547" max="12547" width="15.125" style="5" customWidth="1"/>
    <col min="12548" max="12548" width="10.5" style="5" customWidth="1"/>
    <col min="12549" max="12549" width="12.375" style="5" customWidth="1"/>
    <col min="12550" max="12550" width="9.5" style="5" customWidth="1"/>
    <col min="12551" max="12551" width="16.875" style="5" customWidth="1"/>
    <col min="12552" max="12552" width="10.125" style="5" customWidth="1"/>
    <col min="12553" max="12553" width="11.375" style="5" customWidth="1"/>
    <col min="12554" max="12800" width="8.875" style="5"/>
    <col min="12801" max="12801" width="17.125" style="5" customWidth="1"/>
    <col min="12802" max="12802" width="10.75" style="5" customWidth="1"/>
    <col min="12803" max="12803" width="15.125" style="5" customWidth="1"/>
    <col min="12804" max="12804" width="10.5" style="5" customWidth="1"/>
    <col min="12805" max="12805" width="12.375" style="5" customWidth="1"/>
    <col min="12806" max="12806" width="9.5" style="5" customWidth="1"/>
    <col min="12807" max="12807" width="16.875" style="5" customWidth="1"/>
    <col min="12808" max="12808" width="10.125" style="5" customWidth="1"/>
    <col min="12809" max="12809" width="11.375" style="5" customWidth="1"/>
    <col min="12810" max="13056" width="8.875" style="5"/>
    <col min="13057" max="13057" width="17.125" style="5" customWidth="1"/>
    <col min="13058" max="13058" width="10.75" style="5" customWidth="1"/>
    <col min="13059" max="13059" width="15.125" style="5" customWidth="1"/>
    <col min="13060" max="13060" width="10.5" style="5" customWidth="1"/>
    <col min="13061" max="13061" width="12.375" style="5" customWidth="1"/>
    <col min="13062" max="13062" width="9.5" style="5" customWidth="1"/>
    <col min="13063" max="13063" width="16.875" style="5" customWidth="1"/>
    <col min="13064" max="13064" width="10.125" style="5" customWidth="1"/>
    <col min="13065" max="13065" width="11.375" style="5" customWidth="1"/>
    <col min="13066" max="13312" width="8.875" style="5"/>
    <col min="13313" max="13313" width="17.125" style="5" customWidth="1"/>
    <col min="13314" max="13314" width="10.75" style="5" customWidth="1"/>
    <col min="13315" max="13315" width="15.125" style="5" customWidth="1"/>
    <col min="13316" max="13316" width="10.5" style="5" customWidth="1"/>
    <col min="13317" max="13317" width="12.375" style="5" customWidth="1"/>
    <col min="13318" max="13318" width="9.5" style="5" customWidth="1"/>
    <col min="13319" max="13319" width="16.875" style="5" customWidth="1"/>
    <col min="13320" max="13320" width="10.125" style="5" customWidth="1"/>
    <col min="13321" max="13321" width="11.375" style="5" customWidth="1"/>
    <col min="13322" max="13568" width="8.875" style="5"/>
    <col min="13569" max="13569" width="17.125" style="5" customWidth="1"/>
    <col min="13570" max="13570" width="10.75" style="5" customWidth="1"/>
    <col min="13571" max="13571" width="15.125" style="5" customWidth="1"/>
    <col min="13572" max="13572" width="10.5" style="5" customWidth="1"/>
    <col min="13573" max="13573" width="12.375" style="5" customWidth="1"/>
    <col min="13574" max="13574" width="9.5" style="5" customWidth="1"/>
    <col min="13575" max="13575" width="16.875" style="5" customWidth="1"/>
    <col min="13576" max="13576" width="10.125" style="5" customWidth="1"/>
    <col min="13577" max="13577" width="11.375" style="5" customWidth="1"/>
    <col min="13578" max="13824" width="8.875" style="5"/>
    <col min="13825" max="13825" width="17.125" style="5" customWidth="1"/>
    <col min="13826" max="13826" width="10.75" style="5" customWidth="1"/>
    <col min="13827" max="13827" width="15.125" style="5" customWidth="1"/>
    <col min="13828" max="13828" width="10.5" style="5" customWidth="1"/>
    <col min="13829" max="13829" width="12.375" style="5" customWidth="1"/>
    <col min="13830" max="13830" width="9.5" style="5" customWidth="1"/>
    <col min="13831" max="13831" width="16.875" style="5" customWidth="1"/>
    <col min="13832" max="13832" width="10.125" style="5" customWidth="1"/>
    <col min="13833" max="13833" width="11.375" style="5" customWidth="1"/>
    <col min="13834" max="14080" width="8.875" style="5"/>
    <col min="14081" max="14081" width="17.125" style="5" customWidth="1"/>
    <col min="14082" max="14082" width="10.75" style="5" customWidth="1"/>
    <col min="14083" max="14083" width="15.125" style="5" customWidth="1"/>
    <col min="14084" max="14084" width="10.5" style="5" customWidth="1"/>
    <col min="14085" max="14085" width="12.375" style="5" customWidth="1"/>
    <col min="14086" max="14086" width="9.5" style="5" customWidth="1"/>
    <col min="14087" max="14087" width="16.875" style="5" customWidth="1"/>
    <col min="14088" max="14088" width="10.125" style="5" customWidth="1"/>
    <col min="14089" max="14089" width="11.375" style="5" customWidth="1"/>
    <col min="14090" max="14336" width="8.875" style="5"/>
    <col min="14337" max="14337" width="17.125" style="5" customWidth="1"/>
    <col min="14338" max="14338" width="10.75" style="5" customWidth="1"/>
    <col min="14339" max="14339" width="15.125" style="5" customWidth="1"/>
    <col min="14340" max="14340" width="10.5" style="5" customWidth="1"/>
    <col min="14341" max="14341" width="12.375" style="5" customWidth="1"/>
    <col min="14342" max="14342" width="9.5" style="5" customWidth="1"/>
    <col min="14343" max="14343" width="16.875" style="5" customWidth="1"/>
    <col min="14344" max="14344" width="10.125" style="5" customWidth="1"/>
    <col min="14345" max="14345" width="11.375" style="5" customWidth="1"/>
    <col min="14346" max="14592" width="8.875" style="5"/>
    <col min="14593" max="14593" width="17.125" style="5" customWidth="1"/>
    <col min="14594" max="14594" width="10.75" style="5" customWidth="1"/>
    <col min="14595" max="14595" width="15.125" style="5" customWidth="1"/>
    <col min="14596" max="14596" width="10.5" style="5" customWidth="1"/>
    <col min="14597" max="14597" width="12.375" style="5" customWidth="1"/>
    <col min="14598" max="14598" width="9.5" style="5" customWidth="1"/>
    <col min="14599" max="14599" width="16.875" style="5" customWidth="1"/>
    <col min="14600" max="14600" width="10.125" style="5" customWidth="1"/>
    <col min="14601" max="14601" width="11.375" style="5" customWidth="1"/>
    <col min="14602" max="14848" width="8.875" style="5"/>
    <col min="14849" max="14849" width="17.125" style="5" customWidth="1"/>
    <col min="14850" max="14850" width="10.75" style="5" customWidth="1"/>
    <col min="14851" max="14851" width="15.125" style="5" customWidth="1"/>
    <col min="14852" max="14852" width="10.5" style="5" customWidth="1"/>
    <col min="14853" max="14853" width="12.375" style="5" customWidth="1"/>
    <col min="14854" max="14854" width="9.5" style="5" customWidth="1"/>
    <col min="14855" max="14855" width="16.875" style="5" customWidth="1"/>
    <col min="14856" max="14856" width="10.125" style="5" customWidth="1"/>
    <col min="14857" max="14857" width="11.375" style="5" customWidth="1"/>
    <col min="14858" max="15104" width="8.875" style="5"/>
    <col min="15105" max="15105" width="17.125" style="5" customWidth="1"/>
    <col min="15106" max="15106" width="10.75" style="5" customWidth="1"/>
    <col min="15107" max="15107" width="15.125" style="5" customWidth="1"/>
    <col min="15108" max="15108" width="10.5" style="5" customWidth="1"/>
    <col min="15109" max="15109" width="12.375" style="5" customWidth="1"/>
    <col min="15110" max="15110" width="9.5" style="5" customWidth="1"/>
    <col min="15111" max="15111" width="16.875" style="5" customWidth="1"/>
    <col min="15112" max="15112" width="10.125" style="5" customWidth="1"/>
    <col min="15113" max="15113" width="11.375" style="5" customWidth="1"/>
    <col min="15114" max="15360" width="8.875" style="5"/>
    <col min="15361" max="15361" width="17.125" style="5" customWidth="1"/>
    <col min="15362" max="15362" width="10.75" style="5" customWidth="1"/>
    <col min="15363" max="15363" width="15.125" style="5" customWidth="1"/>
    <col min="15364" max="15364" width="10.5" style="5" customWidth="1"/>
    <col min="15365" max="15365" width="12.375" style="5" customWidth="1"/>
    <col min="15366" max="15366" width="9.5" style="5" customWidth="1"/>
    <col min="15367" max="15367" width="16.875" style="5" customWidth="1"/>
    <col min="15368" max="15368" width="10.125" style="5" customWidth="1"/>
    <col min="15369" max="15369" width="11.375" style="5" customWidth="1"/>
    <col min="15370" max="15616" width="8.875" style="5"/>
    <col min="15617" max="15617" width="17.125" style="5" customWidth="1"/>
    <col min="15618" max="15618" width="10.75" style="5" customWidth="1"/>
    <col min="15619" max="15619" width="15.125" style="5" customWidth="1"/>
    <col min="15620" max="15620" width="10.5" style="5" customWidth="1"/>
    <col min="15621" max="15621" width="12.375" style="5" customWidth="1"/>
    <col min="15622" max="15622" width="9.5" style="5" customWidth="1"/>
    <col min="15623" max="15623" width="16.875" style="5" customWidth="1"/>
    <col min="15624" max="15624" width="10.125" style="5" customWidth="1"/>
    <col min="15625" max="15625" width="11.375" style="5" customWidth="1"/>
    <col min="15626" max="15872" width="8.875" style="5"/>
    <col min="15873" max="15873" width="17.125" style="5" customWidth="1"/>
    <col min="15874" max="15874" width="10.75" style="5" customWidth="1"/>
    <col min="15875" max="15875" width="15.125" style="5" customWidth="1"/>
    <col min="15876" max="15876" width="10.5" style="5" customWidth="1"/>
    <col min="15877" max="15877" width="12.375" style="5" customWidth="1"/>
    <col min="15878" max="15878" width="9.5" style="5" customWidth="1"/>
    <col min="15879" max="15879" width="16.875" style="5" customWidth="1"/>
    <col min="15880" max="15880" width="10.125" style="5" customWidth="1"/>
    <col min="15881" max="15881" width="11.375" style="5" customWidth="1"/>
    <col min="15882" max="16128" width="8.875" style="5"/>
    <col min="16129" max="16129" width="17.125" style="5" customWidth="1"/>
    <col min="16130" max="16130" width="10.75" style="5" customWidth="1"/>
    <col min="16131" max="16131" width="15.125" style="5" customWidth="1"/>
    <col min="16132" max="16132" width="10.5" style="5" customWidth="1"/>
    <col min="16133" max="16133" width="12.375" style="5" customWidth="1"/>
    <col min="16134" max="16134" width="9.5" style="5" customWidth="1"/>
    <col min="16135" max="16135" width="16.875" style="5" customWidth="1"/>
    <col min="16136" max="16136" width="10.125" style="5" customWidth="1"/>
    <col min="16137" max="16137" width="11.375" style="5" customWidth="1"/>
    <col min="16138" max="16384" width="8.875" style="5"/>
  </cols>
  <sheetData>
    <row r="1" spans="1:9" ht="19.5">
      <c r="A1" s="1" t="s">
        <v>490</v>
      </c>
      <c r="B1" s="1"/>
      <c r="C1" s="1"/>
      <c r="D1" s="1"/>
      <c r="E1" s="2"/>
      <c r="F1" s="2"/>
      <c r="G1" s="2"/>
      <c r="H1" s="2"/>
      <c r="I1" s="2"/>
    </row>
    <row r="2" spans="1:9" ht="19.5">
      <c r="A2" s="1"/>
      <c r="B2" s="1"/>
      <c r="C2" s="1"/>
      <c r="D2" s="1"/>
      <c r="E2" s="2"/>
      <c r="F2" s="2"/>
      <c r="G2" s="2"/>
      <c r="H2" s="2"/>
      <c r="I2" s="2"/>
    </row>
    <row r="3" spans="1:9" s="218" customFormat="1" ht="17.25">
      <c r="A3" s="214" t="s">
        <v>157</v>
      </c>
      <c r="B3" s="215"/>
      <c r="C3" s="215"/>
      <c r="D3" s="215"/>
      <c r="E3" s="216"/>
      <c r="F3" s="216"/>
      <c r="G3" s="216"/>
      <c r="H3" s="216"/>
      <c r="I3" s="217"/>
    </row>
    <row r="4" spans="1:9" s="218" customFormat="1" ht="17.25">
      <c r="A4" s="219" t="s">
        <v>161</v>
      </c>
      <c r="B4" s="220"/>
      <c r="C4" s="220"/>
      <c r="D4" s="220"/>
      <c r="E4" s="221"/>
      <c r="F4" s="221"/>
      <c r="G4" s="221"/>
      <c r="H4" s="221"/>
      <c r="I4" s="222"/>
    </row>
    <row r="5" spans="1:9" s="226" customFormat="1">
      <c r="A5" s="8" t="s">
        <v>476</v>
      </c>
      <c r="B5" s="8" t="s">
        <v>477</v>
      </c>
      <c r="C5" s="8" t="s">
        <v>481</v>
      </c>
      <c r="D5" s="9" t="s">
        <v>1</v>
      </c>
      <c r="E5" s="10" t="s">
        <v>479</v>
      </c>
      <c r="F5" s="11" t="s">
        <v>2</v>
      </c>
      <c r="G5" s="8" t="s">
        <v>480</v>
      </c>
      <c r="H5" s="225" t="s">
        <v>2</v>
      </c>
      <c r="I5" s="224" t="s">
        <v>1</v>
      </c>
    </row>
    <row r="6" spans="1:9" s="226" customFormat="1">
      <c r="A6" s="227"/>
      <c r="B6" s="228" t="s">
        <v>3</v>
      </c>
      <c r="C6" s="229" t="s">
        <v>4</v>
      </c>
      <c r="D6" s="227" t="s">
        <v>4</v>
      </c>
      <c r="E6" s="225" t="s">
        <v>3</v>
      </c>
      <c r="F6" s="225"/>
      <c r="G6" s="223" t="s">
        <v>4</v>
      </c>
      <c r="H6" s="223"/>
      <c r="I6" s="224" t="s">
        <v>4</v>
      </c>
    </row>
    <row r="7" spans="1:9" s="226" customFormat="1">
      <c r="A7" s="230" t="s">
        <v>5</v>
      </c>
      <c r="B7" s="231"/>
      <c r="C7" s="232"/>
      <c r="D7" s="230"/>
      <c r="E7" s="233"/>
      <c r="F7" s="234"/>
      <c r="G7" s="234"/>
      <c r="H7" s="234"/>
      <c r="I7" s="235"/>
    </row>
    <row r="8" spans="1:9" s="226" customFormat="1">
      <c r="A8" s="236" t="s">
        <v>6</v>
      </c>
      <c r="B8" s="237">
        <f>SUM(B9:B11)</f>
        <v>19256</v>
      </c>
      <c r="C8" s="238">
        <f>SUM(C9:C11)</f>
        <v>39896159</v>
      </c>
      <c r="D8" s="239">
        <f>IF(B8,C8/B8,0)</f>
        <v>2071.8819588699625</v>
      </c>
      <c r="E8" s="240">
        <f xml:space="preserve"> SUM(E9:E11)</f>
        <v>70774</v>
      </c>
      <c r="F8" s="241">
        <f>E8/E64</f>
        <v>0.22329282297858377</v>
      </c>
      <c r="G8" s="242">
        <f>SUM(G9:G11)</f>
        <v>145304454</v>
      </c>
      <c r="H8" s="241">
        <f>G8/G64</f>
        <v>0.28145678231284182</v>
      </c>
      <c r="I8" s="243">
        <f>IF(E8,G8/E8,0)</f>
        <v>2053.0767513493656</v>
      </c>
    </row>
    <row r="9" spans="1:9" s="226" customFormat="1">
      <c r="A9" s="244" t="s">
        <v>164</v>
      </c>
      <c r="B9" s="245">
        <f>VLOOKUP(A9,[13]進出口值表查詢結果!$A$2:$C$41,3,0)</f>
        <v>17332</v>
      </c>
      <c r="C9" s="245">
        <f>VLOOKUP(A9,[13]進出口值表查詢結果!$A$2:$C$41,2,0)</f>
        <v>35667577</v>
      </c>
      <c r="D9" s="239">
        <f t="shared" ref="D9:D63" si="0">IF(B9,C9/B9,0)</f>
        <v>2057.9031271636281</v>
      </c>
      <c r="E9" s="246">
        <f>VLOOKUP(A9,[14]進出口值表查詢結果!$A$2:$C$48,3,0)</f>
        <v>62665</v>
      </c>
      <c r="F9" s="241">
        <f>E9/E64</f>
        <v>0.19770883024773156</v>
      </c>
      <c r="G9" s="246">
        <f>VLOOKUP(A9,[14]進出口值表查詢結果!$A$2:$C$48,2,0)</f>
        <v>128872653</v>
      </c>
      <c r="H9" s="241">
        <f>G9/G64</f>
        <v>0.24962815139513483</v>
      </c>
      <c r="I9" s="243">
        <f t="shared" ref="I9:I64" si="1">IF(E9,G9/E9,0)</f>
        <v>2056.533200351073</v>
      </c>
    </row>
    <row r="10" spans="1:9" s="226" customFormat="1">
      <c r="A10" s="37" t="s">
        <v>7</v>
      </c>
      <c r="B10" s="245">
        <f>VLOOKUP(A10,[13]進出口值表查詢結果!$A$2:$C$41,3,0)</f>
        <v>1620</v>
      </c>
      <c r="C10" s="245">
        <f>VLOOKUP(A10,[13]進出口值表查詢結果!$A$2:$C$41,2,0)</f>
        <v>3750001</v>
      </c>
      <c r="D10" s="239">
        <f t="shared" si="0"/>
        <v>2314.8154320987655</v>
      </c>
      <c r="E10" s="246">
        <f>VLOOKUP(A10,[14]進出口值表查詢結果!$A$2:$C$48,3,0)</f>
        <v>7364</v>
      </c>
      <c r="F10" s="241">
        <f>E10/E64</f>
        <v>2.3233508752003432E-2</v>
      </c>
      <c r="G10" s="246">
        <f>VLOOKUP(A10,[14]進出口值表查詢結果!$A$2:$C$48,2,0)</f>
        <v>14909038</v>
      </c>
      <c r="H10" s="241">
        <f>G10/G64</f>
        <v>2.8879017451590897E-2</v>
      </c>
      <c r="I10" s="243">
        <f t="shared" si="1"/>
        <v>2024.5841933731667</v>
      </c>
    </row>
    <row r="11" spans="1:9" s="226" customFormat="1">
      <c r="A11" s="37" t="s">
        <v>8</v>
      </c>
      <c r="B11" s="245">
        <f>VLOOKUP(A11,[13]進出口值表查詢結果!$A$2:$C$41,3,0)</f>
        <v>304</v>
      </c>
      <c r="C11" s="245">
        <f>VLOOKUP(A11,[13]進出口值表查詢結果!$A$2:$C$41,2,0)</f>
        <v>478581</v>
      </c>
      <c r="D11" s="239">
        <f t="shared" si="0"/>
        <v>1574.2796052631579</v>
      </c>
      <c r="E11" s="246">
        <f>VLOOKUP(A11,[14]進出口值表查詢結果!$A$2:$C$48,3,0)</f>
        <v>745</v>
      </c>
      <c r="F11" s="241">
        <f>E11/E64</f>
        <v>2.3504839788487993E-3</v>
      </c>
      <c r="G11" s="246">
        <f>VLOOKUP(A11,[14]進出口值表查詢結果!$A$2:$C$48,2,0)</f>
        <v>1522763</v>
      </c>
      <c r="H11" s="241">
        <f>G11/G64</f>
        <v>2.9496134661161177E-3</v>
      </c>
      <c r="I11" s="243">
        <f t="shared" si="1"/>
        <v>2043.9771812080537</v>
      </c>
    </row>
    <row r="12" spans="1:9" s="226" customFormat="1">
      <c r="A12" s="37"/>
      <c r="B12" s="34"/>
      <c r="C12" s="34"/>
      <c r="D12" s="239"/>
      <c r="E12" s="247"/>
      <c r="F12" s="248"/>
      <c r="G12" s="247"/>
      <c r="H12" s="248"/>
      <c r="I12" s="243"/>
    </row>
    <row r="13" spans="1:9" s="226" customFormat="1">
      <c r="A13" s="249" t="s">
        <v>9</v>
      </c>
      <c r="B13" s="250">
        <f>SUM(B14:B39)</f>
        <v>47736</v>
      </c>
      <c r="C13" s="250">
        <f>SUM(C14:C39)</f>
        <v>75109953</v>
      </c>
      <c r="D13" s="239">
        <f t="shared" si="0"/>
        <v>1573.4446329813977</v>
      </c>
      <c r="E13" s="251">
        <f>SUM(E14:E39)</f>
        <v>197766</v>
      </c>
      <c r="F13" s="241">
        <f>E13/E64</f>
        <v>0.62395411350471364</v>
      </c>
      <c r="G13" s="242">
        <f>SUM(G14:G39)</f>
        <v>288177647</v>
      </c>
      <c r="H13" s="241">
        <f>G13/G64</f>
        <v>0.55820417768546848</v>
      </c>
      <c r="I13" s="243">
        <f t="shared" si="1"/>
        <v>1457.1647654298515</v>
      </c>
    </row>
    <row r="14" spans="1:9" s="226" customFormat="1">
      <c r="A14" s="244" t="s">
        <v>247</v>
      </c>
      <c r="B14" s="245">
        <f>VLOOKUP(A14,[13]進出口值表查詢結果!$A$2:$C$41,3,0)</f>
        <v>29512</v>
      </c>
      <c r="C14" s="245">
        <f>VLOOKUP(A14,[13]進出口值表查詢結果!$A$2:$C$41,2,0)</f>
        <v>47743821</v>
      </c>
      <c r="D14" s="239">
        <f t="shared" si="0"/>
        <v>1617.776531580374</v>
      </c>
      <c r="E14" s="246">
        <f>VLOOKUP(A14,[14]進出口值表查詢結果!$A$2:$C$48,3,0)</f>
        <v>120212</v>
      </c>
      <c r="F14" s="241">
        <f>E14/E64</f>
        <v>0.37927030881257967</v>
      </c>
      <c r="G14" s="246">
        <f>VLOOKUP(A14,[14]進出口值表查詢結果!$A$2:$C$48,2,0)</f>
        <v>185105432</v>
      </c>
      <c r="H14" s="241">
        <f>G14/G64</f>
        <v>0.3585518395695465</v>
      </c>
      <c r="I14" s="243">
        <f t="shared" si="1"/>
        <v>1539.824909326856</v>
      </c>
    </row>
    <row r="15" spans="1:9" s="226" customFormat="1">
      <c r="A15" s="244" t="s">
        <v>248</v>
      </c>
      <c r="B15" s="245">
        <f>VLOOKUP(A15,[13]進出口值表查詢結果!$A$2:$C$41,3,0)</f>
        <v>6641</v>
      </c>
      <c r="C15" s="245">
        <f>VLOOKUP(A15,[13]進出口值表查詢結果!$A$2:$C$41,2,0)</f>
        <v>6029239</v>
      </c>
      <c r="D15" s="239">
        <f t="shared" si="0"/>
        <v>907.8811925914772</v>
      </c>
      <c r="E15" s="246">
        <f>VLOOKUP(A15,[14]進出口值表查詢結果!$A$2:$C$48,3,0)</f>
        <v>29886</v>
      </c>
      <c r="F15" s="241">
        <f>E15/E64</f>
        <v>9.4290690190436524E-2</v>
      </c>
      <c r="G15" s="246">
        <f>VLOOKUP(A15,[14]進出口值表查詢結果!$A$2:$C$48,2,0)</f>
        <v>27843163</v>
      </c>
      <c r="H15" s="241">
        <f>G15/G64</f>
        <v>5.3932600492700468E-2</v>
      </c>
      <c r="I15" s="243">
        <f t="shared" si="1"/>
        <v>931.64568694371951</v>
      </c>
    </row>
    <row r="16" spans="1:9" s="226" customFormat="1">
      <c r="A16" s="37" t="s">
        <v>10</v>
      </c>
      <c r="B16" s="245">
        <f>VLOOKUP(A16,[13]進出口值表查詢結果!$A$2:$C$41,3,0)</f>
        <v>895</v>
      </c>
      <c r="C16" s="245">
        <f>VLOOKUP(A16,[13]進出口值表查詢結果!$A$2:$C$41,2,0)</f>
        <v>2109034</v>
      </c>
      <c r="D16" s="239">
        <f t="shared" si="0"/>
        <v>2356.4625698324021</v>
      </c>
      <c r="E16" s="246">
        <f>VLOOKUP(A16,[14]進出口值表查詢結果!$A$2:$C$48,3,0)</f>
        <v>4544</v>
      </c>
      <c r="F16" s="241">
        <f>E16/E64</f>
        <v>1.4336374764951603E-2</v>
      </c>
      <c r="G16" s="246">
        <f>VLOOKUP(A16,[14]進出口值表查詢結果!$A$2:$C$48,2,0)</f>
        <v>6676203</v>
      </c>
      <c r="H16" s="241">
        <f>G16/G64</f>
        <v>1.2931899626747448E-2</v>
      </c>
      <c r="I16" s="243">
        <f t="shared" si="1"/>
        <v>1469.2348151408451</v>
      </c>
    </row>
    <row r="17" spans="1:9" s="226" customFormat="1">
      <c r="A17" s="244" t="s">
        <v>249</v>
      </c>
      <c r="B17" s="245">
        <f>VLOOKUP(A17,[13]進出口值表查詢結果!$A$2:$C$41,3,0)</f>
        <v>2975</v>
      </c>
      <c r="C17" s="245">
        <f>VLOOKUP(A17,[13]進出口值表查詢結果!$A$2:$C$41,2,0)</f>
        <v>4448981</v>
      </c>
      <c r="D17" s="239">
        <f t="shared" si="0"/>
        <v>1495.4557983193276</v>
      </c>
      <c r="E17" s="246">
        <f>VLOOKUP(A17,[14]進出口值表查詢結果!$A$2:$C$48,3,0)</f>
        <v>12188</v>
      </c>
      <c r="F17" s="241">
        <f>E17/E64</f>
        <v>3.8453286891555923E-2</v>
      </c>
      <c r="G17" s="246">
        <f>VLOOKUP(A17,[14]進出口值表查詢結果!$A$2:$C$48,2,0)</f>
        <v>16006545</v>
      </c>
      <c r="H17" s="241">
        <f>G17/G64</f>
        <v>3.1004904031680314E-2</v>
      </c>
      <c r="I17" s="243">
        <f t="shared" si="1"/>
        <v>1313.3036593370527</v>
      </c>
    </row>
    <row r="18" spans="1:9" s="226" customFormat="1">
      <c r="A18" s="37" t="s">
        <v>11</v>
      </c>
      <c r="B18" s="245">
        <f>VLOOKUP(A18,[13]進出口值表查詢結果!$A$2:$C$41,3,0)</f>
        <v>1040</v>
      </c>
      <c r="C18" s="245">
        <f>VLOOKUP(A18,[13]進出口值表查詢結果!$A$2:$C$41,2,0)</f>
        <v>2382689</v>
      </c>
      <c r="D18" s="239">
        <f t="shared" si="0"/>
        <v>2291.0471153846156</v>
      </c>
      <c r="E18" s="246">
        <f>VLOOKUP(A18,[14]進出口值表查詢結果!$A$2:$C$48,3,0)</f>
        <v>5536</v>
      </c>
      <c r="F18" s="241">
        <f>E18/E64</f>
        <v>1.7466146720680472E-2</v>
      </c>
      <c r="G18" s="246">
        <f>VLOOKUP(A18,[14]進出口值表查詢結果!$A$2:$C$48,2,0)</f>
        <v>11818974</v>
      </c>
      <c r="H18" s="241">
        <f>G18/G64</f>
        <v>2.2893519783496366E-2</v>
      </c>
      <c r="I18" s="243">
        <f t="shared" si="1"/>
        <v>2134.9302745664741</v>
      </c>
    </row>
    <row r="19" spans="1:9" s="226" customFormat="1">
      <c r="A19" s="37" t="s">
        <v>12</v>
      </c>
      <c r="B19" s="245">
        <f>VLOOKUP(A19,[13]進出口值表查詢結果!$A$2:$C$41,3,0)</f>
        <v>1299</v>
      </c>
      <c r="C19" s="245">
        <f>VLOOKUP(A19,[13]進出口值表查詢結果!$A$2:$C$41,2,0)</f>
        <v>2206503</v>
      </c>
      <c r="D19" s="239">
        <f t="shared" si="0"/>
        <v>1698.6166281755197</v>
      </c>
      <c r="E19" s="246">
        <f>VLOOKUP(A19,[14]進出口值表查詢結果!$A$2:$C$48,3,0)</f>
        <v>5083</v>
      </c>
      <c r="F19" s="241">
        <f>E19/E64</f>
        <v>1.6036926261058317E-2</v>
      </c>
      <c r="G19" s="246">
        <f>VLOOKUP(A19,[14]進出口值表查詢結果!$A$2:$C$48,2,0)</f>
        <v>9271295</v>
      </c>
      <c r="H19" s="241">
        <f>G19/G64</f>
        <v>1.795862953088237E-2</v>
      </c>
      <c r="I19" s="243">
        <f t="shared" si="1"/>
        <v>1823.9809167814283</v>
      </c>
    </row>
    <row r="20" spans="1:9" s="226" customFormat="1">
      <c r="A20" s="244" t="s">
        <v>251</v>
      </c>
      <c r="B20" s="245">
        <f>VLOOKUP(A20,[13]進出口值表查詢結果!$A$2:$C$41,3,0)</f>
        <v>1745</v>
      </c>
      <c r="C20" s="245">
        <f>VLOOKUP(A20,[13]進出口值表查詢結果!$A$2:$C$41,2,0)</f>
        <v>2712714</v>
      </c>
      <c r="D20" s="239">
        <f t="shared" si="0"/>
        <v>1554.5638968481376</v>
      </c>
      <c r="E20" s="246">
        <f>VLOOKUP(A20,[14]進出口值表查詢結果!$A$2:$C$48,3,0)</f>
        <v>4322</v>
      </c>
      <c r="F20" s="241">
        <f>E20/E64</f>
        <v>1.3635962089375181E-2</v>
      </c>
      <c r="G20" s="246">
        <f>VLOOKUP(A20,[14]進出口值表查詢結果!$A$2:$C$48,2,0)</f>
        <v>6538409</v>
      </c>
      <c r="H20" s="241">
        <f>G20/G64</f>
        <v>1.2664990700046442E-2</v>
      </c>
      <c r="I20" s="243">
        <f t="shared" si="1"/>
        <v>1512.8202221193892</v>
      </c>
    </row>
    <row r="21" spans="1:9" s="226" customFormat="1">
      <c r="A21" s="37" t="s">
        <v>13</v>
      </c>
      <c r="B21" s="245">
        <v>0</v>
      </c>
      <c r="C21" s="245">
        <v>0</v>
      </c>
      <c r="D21" s="239">
        <f t="shared" si="0"/>
        <v>0</v>
      </c>
      <c r="E21" s="246">
        <f>VLOOKUP(A21,[14]進出口值表查詢結果!$A$2:$C$48,3,0)</f>
        <v>14</v>
      </c>
      <c r="F21" s="241">
        <f>E21/E64</f>
        <v>4.417016873004455E-5</v>
      </c>
      <c r="G21" s="246">
        <f>VLOOKUP(A21,[14]進出口值表查詢結果!$A$2:$C$48,2,0)</f>
        <v>49329</v>
      </c>
      <c r="H21" s="241">
        <f>G21/G64</f>
        <v>9.5550970617254273E-5</v>
      </c>
      <c r="I21" s="243">
        <f t="shared" si="1"/>
        <v>3523.5</v>
      </c>
    </row>
    <row r="22" spans="1:9" s="226" customFormat="1">
      <c r="A22" s="244" t="s">
        <v>252</v>
      </c>
      <c r="B22" s="245">
        <f>VLOOKUP(A22,[13]進出口值表查詢結果!$A$2:$C$41,3,0)</f>
        <v>2156</v>
      </c>
      <c r="C22" s="245">
        <f>VLOOKUP(A22,[13]進出口值表查詢結果!$A$2:$C$41,2,0)</f>
        <v>5393890</v>
      </c>
      <c r="D22" s="239">
        <f t="shared" si="0"/>
        <v>2501.8042671614098</v>
      </c>
      <c r="E22" s="246">
        <f>VLOOKUP(A22,[14]進出口值表查詢結果!$A$2:$C$48,3,0)</f>
        <v>5932</v>
      </c>
      <c r="F22" s="241">
        <f>E22/E64</f>
        <v>1.8715531493330304E-2</v>
      </c>
      <c r="G22" s="246">
        <f>VLOOKUP(A22,[14]進出口值表查詢結果!$A$2:$C$48,2,0)</f>
        <v>14606144</v>
      </c>
      <c r="H22" s="241">
        <f>G22/G64</f>
        <v>2.8292307490023816E-2</v>
      </c>
      <c r="I22" s="243">
        <f t="shared" si="1"/>
        <v>2462.2629804450439</v>
      </c>
    </row>
    <row r="23" spans="1:9" s="226" customFormat="1">
      <c r="A23" s="37" t="s">
        <v>14</v>
      </c>
      <c r="B23" s="245">
        <v>0</v>
      </c>
      <c r="C23" s="245">
        <v>0</v>
      </c>
      <c r="D23" s="239">
        <f t="shared" si="0"/>
        <v>0</v>
      </c>
      <c r="E23" s="246">
        <v>0</v>
      </c>
      <c r="F23" s="241">
        <f>E23/E64</f>
        <v>0</v>
      </c>
      <c r="G23" s="246">
        <v>0</v>
      </c>
      <c r="H23" s="241">
        <f>G23/G64</f>
        <v>0</v>
      </c>
      <c r="I23" s="243">
        <f t="shared" si="1"/>
        <v>0</v>
      </c>
    </row>
    <row r="24" spans="1:9" s="226" customFormat="1">
      <c r="A24" s="37" t="s">
        <v>15</v>
      </c>
      <c r="B24" s="245">
        <v>0</v>
      </c>
      <c r="C24" s="245">
        <v>0</v>
      </c>
      <c r="D24" s="239">
        <f t="shared" si="0"/>
        <v>0</v>
      </c>
      <c r="E24" s="246">
        <v>0</v>
      </c>
      <c r="F24" s="241">
        <f>E24/E64</f>
        <v>0</v>
      </c>
      <c r="G24" s="246">
        <v>0</v>
      </c>
      <c r="H24" s="241">
        <f>G24/G64</f>
        <v>0</v>
      </c>
      <c r="I24" s="243">
        <f t="shared" si="1"/>
        <v>0</v>
      </c>
    </row>
    <row r="25" spans="1:9" s="226" customFormat="1">
      <c r="A25" s="37" t="s">
        <v>16</v>
      </c>
      <c r="B25" s="245">
        <f>VLOOKUP(A25,[13]進出口值表查詢結果!$A$2:$C$41,3,0)</f>
        <v>306</v>
      </c>
      <c r="C25" s="245">
        <f>VLOOKUP(A25,[13]進出口值表查詢結果!$A$2:$C$41,2,0)</f>
        <v>681012</v>
      </c>
      <c r="D25" s="239">
        <f t="shared" si="0"/>
        <v>2225.5294117647059</v>
      </c>
      <c r="E25" s="246">
        <f>VLOOKUP(A25,[14]進出口值表查詢結果!$A$2:$C$48,3,0)</f>
        <v>1724</v>
      </c>
      <c r="F25" s="241">
        <f>E25/E64</f>
        <v>5.4392407778997712E-3</v>
      </c>
      <c r="G25" s="246">
        <f>VLOOKUP(A25,[14]進出口值表查詢結果!$A$2:$C$48,2,0)</f>
        <v>3553674</v>
      </c>
      <c r="H25" s="241">
        <f>G25/G64</f>
        <v>6.8835167945285828E-3</v>
      </c>
      <c r="I25" s="243">
        <f t="shared" si="1"/>
        <v>2061.2958236658933</v>
      </c>
    </row>
    <row r="26" spans="1:9" s="226" customFormat="1">
      <c r="A26" s="244" t="s">
        <v>255</v>
      </c>
      <c r="B26" s="245">
        <f>VLOOKUP(A26,[13]進出口值表查詢結果!$A$2:$C$41,3,0)</f>
        <v>326</v>
      </c>
      <c r="C26" s="245">
        <f>VLOOKUP(A26,[13]進出口值表查詢結果!$A$2:$C$41,2,0)</f>
        <v>131702</v>
      </c>
      <c r="D26" s="239">
        <f t="shared" si="0"/>
        <v>403.99386503067484</v>
      </c>
      <c r="E26" s="246">
        <f>VLOOKUP(A26,[14]進出口值表查詢結果!$A$2:$C$48,3,0)</f>
        <v>3190</v>
      </c>
      <c r="F26" s="241">
        <f>E26/E64</f>
        <v>1.0064488446345865E-2</v>
      </c>
      <c r="G26" s="246">
        <f>VLOOKUP(A26,[14]進出口值表查詢結果!$A$2:$C$48,2,0)</f>
        <v>1270376</v>
      </c>
      <c r="H26" s="241">
        <f>G26/G64</f>
        <v>2.4607362778257215E-3</v>
      </c>
      <c r="I26" s="243">
        <f t="shared" si="1"/>
        <v>398.2369905956113</v>
      </c>
    </row>
    <row r="27" spans="1:9" s="226" customFormat="1">
      <c r="A27" s="244" t="s">
        <v>257</v>
      </c>
      <c r="B27" s="245">
        <f>VLOOKUP(A27,[13]進出口值表查詢結果!$A$2:$C$41,3,0)</f>
        <v>254</v>
      </c>
      <c r="C27" s="245">
        <f>VLOOKUP(A27,[13]進出口值表查詢結果!$A$2:$C$41,2,0)</f>
        <v>442477</v>
      </c>
      <c r="D27" s="239">
        <f t="shared" si="0"/>
        <v>1742.0354330708662</v>
      </c>
      <c r="E27" s="246">
        <f>VLOOKUP(A27,[14]進出口值表查詢結果!$A$2:$C$48,3,0)</f>
        <v>357</v>
      </c>
      <c r="F27" s="241">
        <f>E27/E64</f>
        <v>1.126339302616136E-3</v>
      </c>
      <c r="G27" s="246">
        <f>VLOOKUP(A27,[14]進出口值表查詢結果!$A$2:$C$48,2,0)</f>
        <v>667340</v>
      </c>
      <c r="H27" s="241">
        <f>G27/G64</f>
        <v>1.2926470176107051E-3</v>
      </c>
      <c r="I27" s="243">
        <f t="shared" si="1"/>
        <v>1869.2997198879552</v>
      </c>
    </row>
    <row r="28" spans="1:9" s="226" customFormat="1">
      <c r="A28" s="253" t="s">
        <v>258</v>
      </c>
      <c r="B28" s="245">
        <f>VLOOKUP(A28,[13]進出口值表查詢結果!$A$2:$C$41,3,0)</f>
        <v>232</v>
      </c>
      <c r="C28" s="245">
        <f>VLOOKUP(A28,[13]進出口值表查詢結果!$A$2:$C$41,2,0)</f>
        <v>449967</v>
      </c>
      <c r="D28" s="239">
        <f t="shared" si="0"/>
        <v>1939.5129310344828</v>
      </c>
      <c r="E28" s="246">
        <f>VLOOKUP(A28,[14]進出口值表查詢結果!$A$2:$C$48,3,0)</f>
        <v>1202</v>
      </c>
      <c r="F28" s="241">
        <f>E28/E64</f>
        <v>3.7923244866795392E-3</v>
      </c>
      <c r="G28" s="246">
        <f>VLOOKUP(A28,[14]進出口值表查詢結果!$A$2:$C$48,2,0)</f>
        <v>2250241</v>
      </c>
      <c r="H28" s="241">
        <f>G28/G64</f>
        <v>4.358748640206387E-3</v>
      </c>
      <c r="I28" s="243">
        <f t="shared" si="1"/>
        <v>1872.0806988352745</v>
      </c>
    </row>
    <row r="29" spans="1:9" s="226" customFormat="1">
      <c r="A29" s="253" t="s">
        <v>259</v>
      </c>
      <c r="B29" s="245">
        <f>VLOOKUP(A29,[13]進出口值表查詢結果!$A$2:$C$41,3,0)</f>
        <v>355</v>
      </c>
      <c r="C29" s="245">
        <f>VLOOKUP(A29,[13]進出口值表查詢結果!$A$2:$C$41,2,0)</f>
        <v>377924</v>
      </c>
      <c r="D29" s="239">
        <f t="shared" si="0"/>
        <v>1064.5746478873239</v>
      </c>
      <c r="E29" s="246">
        <f>VLOOKUP(A29,[14]進出口值表查詢結果!$A$2:$C$48,3,0)</f>
        <v>3490</v>
      </c>
      <c r="F29" s="241">
        <f>E29/E64</f>
        <v>1.1010992061989676E-2</v>
      </c>
      <c r="G29" s="246">
        <f>VLOOKUP(A29,[14]進出口值表查詢結果!$A$2:$C$48,2,0)</f>
        <v>2364192</v>
      </c>
      <c r="H29" s="241">
        <f>G29/G64</f>
        <v>4.5794733387165285E-3</v>
      </c>
      <c r="I29" s="243">
        <f t="shared" si="1"/>
        <v>677.41891117478508</v>
      </c>
    </row>
    <row r="30" spans="1:9" s="226" customFormat="1">
      <c r="A30" s="253" t="s">
        <v>260</v>
      </c>
      <c r="B30" s="245">
        <v>0</v>
      </c>
      <c r="C30" s="245">
        <v>0</v>
      </c>
      <c r="D30" s="239">
        <f t="shared" si="0"/>
        <v>0</v>
      </c>
      <c r="E30" s="246">
        <f>VLOOKUP(A30,[14]進出口值表查詢結果!$A$2:$C$48,3,0)</f>
        <v>86</v>
      </c>
      <c r="F30" s="241">
        <f>E30/E64</f>
        <v>2.7133103648455939E-4</v>
      </c>
      <c r="G30" s="246">
        <f>VLOOKUP(A30,[14]進出口值表查詢結果!$A$2:$C$48,2,0)</f>
        <v>156330</v>
      </c>
      <c r="H30" s="241">
        <f>G30/G64</f>
        <v>3.0281342083957432E-4</v>
      </c>
      <c r="I30" s="243">
        <f t="shared" si="1"/>
        <v>1817.7906976744187</v>
      </c>
    </row>
    <row r="31" spans="1:9" s="226" customFormat="1">
      <c r="A31" s="253" t="s">
        <v>261</v>
      </c>
      <c r="B31" s="245">
        <v>0</v>
      </c>
      <c r="C31" s="245">
        <v>0</v>
      </c>
      <c r="D31" s="239">
        <f t="shared" si="0"/>
        <v>0</v>
      </c>
      <c r="E31" s="246">
        <v>0</v>
      </c>
      <c r="F31" s="241">
        <f>E31/E64</f>
        <v>0</v>
      </c>
      <c r="G31" s="246">
        <v>0</v>
      </c>
      <c r="H31" s="241">
        <f>G31/G64</f>
        <v>0</v>
      </c>
      <c r="I31" s="243">
        <f t="shared" si="1"/>
        <v>0</v>
      </c>
    </row>
    <row r="32" spans="1:9" s="226" customFormat="1">
      <c r="A32" s="30" t="s">
        <v>263</v>
      </c>
      <c r="B32" s="245">
        <v>0</v>
      </c>
      <c r="C32" s="245">
        <v>0</v>
      </c>
      <c r="D32" s="239">
        <f t="shared" si="0"/>
        <v>0</v>
      </c>
      <c r="E32" s="246">
        <v>0</v>
      </c>
      <c r="F32" s="241">
        <f>E32/E64</f>
        <v>0</v>
      </c>
      <c r="G32" s="246">
        <v>0</v>
      </c>
      <c r="H32" s="241">
        <f>G32/G64</f>
        <v>0</v>
      </c>
      <c r="I32" s="243">
        <f t="shared" si="1"/>
        <v>0</v>
      </c>
    </row>
    <row r="33" spans="1:9" s="226" customFormat="1">
      <c r="A33" s="253" t="s">
        <v>265</v>
      </c>
      <c r="B33" s="245">
        <v>0</v>
      </c>
      <c r="C33" s="245">
        <v>0</v>
      </c>
      <c r="D33" s="239">
        <f t="shared" si="0"/>
        <v>0</v>
      </c>
      <c r="E33" s="246">
        <v>0</v>
      </c>
      <c r="F33" s="241">
        <f>E33/E64</f>
        <v>0</v>
      </c>
      <c r="G33" s="246">
        <v>0</v>
      </c>
      <c r="H33" s="241">
        <f>G33/G64</f>
        <v>0</v>
      </c>
      <c r="I33" s="243">
        <f t="shared" si="1"/>
        <v>0</v>
      </c>
    </row>
    <row r="34" spans="1:9" s="226" customFormat="1">
      <c r="A34" s="253" t="s">
        <v>266</v>
      </c>
      <c r="B34" s="245">
        <v>0</v>
      </c>
      <c r="C34" s="245">
        <v>0</v>
      </c>
      <c r="D34" s="239">
        <f t="shared" si="0"/>
        <v>0</v>
      </c>
      <c r="E34" s="246">
        <v>0</v>
      </c>
      <c r="F34" s="241">
        <f>E34/E64</f>
        <v>0</v>
      </c>
      <c r="G34" s="246">
        <v>0</v>
      </c>
      <c r="H34" s="241">
        <f>G34/G64</f>
        <v>0</v>
      </c>
      <c r="I34" s="243">
        <f t="shared" si="1"/>
        <v>0</v>
      </c>
    </row>
    <row r="35" spans="1:9" s="226" customFormat="1">
      <c r="A35" s="254" t="s">
        <v>384</v>
      </c>
      <c r="B35" s="245">
        <v>0</v>
      </c>
      <c r="C35" s="245">
        <v>0</v>
      </c>
      <c r="D35" s="239">
        <f t="shared" si="0"/>
        <v>0</v>
      </c>
      <c r="E35" s="246">
        <v>0</v>
      </c>
      <c r="F35" s="241">
        <f>E35/E64</f>
        <v>0</v>
      </c>
      <c r="G35" s="246">
        <v>0</v>
      </c>
      <c r="H35" s="241">
        <f>G35/G64</f>
        <v>0</v>
      </c>
      <c r="I35" s="243">
        <f t="shared" si="1"/>
        <v>0</v>
      </c>
    </row>
    <row r="36" spans="1:9" s="226" customFormat="1">
      <c r="A36" s="253" t="s">
        <v>269</v>
      </c>
      <c r="B36" s="245">
        <v>0</v>
      </c>
      <c r="C36" s="245">
        <v>0</v>
      </c>
      <c r="D36" s="239">
        <f t="shared" si="0"/>
        <v>0</v>
      </c>
      <c r="E36" s="246">
        <v>0</v>
      </c>
      <c r="F36" s="241">
        <f>E36/E64</f>
        <v>0</v>
      </c>
      <c r="G36" s="246">
        <v>0</v>
      </c>
      <c r="H36" s="241">
        <f>G36/G64</f>
        <v>0</v>
      </c>
      <c r="I36" s="243">
        <f t="shared" si="1"/>
        <v>0</v>
      </c>
    </row>
    <row r="37" spans="1:9" s="226" customFormat="1">
      <c r="A37" s="253" t="s">
        <v>385</v>
      </c>
      <c r="B37" s="245">
        <v>0</v>
      </c>
      <c r="C37" s="245">
        <v>0</v>
      </c>
      <c r="D37" s="239">
        <f t="shared" si="0"/>
        <v>0</v>
      </c>
      <c r="E37" s="246">
        <v>0</v>
      </c>
      <c r="F37" s="241">
        <f>E37/E64</f>
        <v>0</v>
      </c>
      <c r="G37" s="246">
        <v>0</v>
      </c>
      <c r="H37" s="241">
        <f>G37/G64</f>
        <v>0</v>
      </c>
      <c r="I37" s="243">
        <f t="shared" si="1"/>
        <v>0</v>
      </c>
    </row>
    <row r="38" spans="1:9" s="226" customFormat="1">
      <c r="A38" s="253" t="s">
        <v>271</v>
      </c>
      <c r="B38" s="245">
        <v>0</v>
      </c>
      <c r="C38" s="245">
        <v>0</v>
      </c>
      <c r="D38" s="239">
        <f t="shared" si="0"/>
        <v>0</v>
      </c>
      <c r="E38" s="246">
        <v>0</v>
      </c>
      <c r="F38" s="241">
        <f>E38/E64</f>
        <v>0</v>
      </c>
      <c r="G38" s="246">
        <v>0</v>
      </c>
      <c r="H38" s="241">
        <f>G38/G64</f>
        <v>0</v>
      </c>
      <c r="I38" s="243">
        <f t="shared" si="1"/>
        <v>0</v>
      </c>
    </row>
    <row r="39" spans="1:9" s="226" customFormat="1">
      <c r="A39" s="253" t="s">
        <v>272</v>
      </c>
      <c r="B39" s="245">
        <v>0</v>
      </c>
      <c r="C39" s="245">
        <v>0</v>
      </c>
      <c r="D39" s="239">
        <f t="shared" si="0"/>
        <v>0</v>
      </c>
      <c r="E39" s="246">
        <v>0</v>
      </c>
      <c r="F39" s="241">
        <f>E39/E64</f>
        <v>0</v>
      </c>
      <c r="G39" s="246">
        <v>0</v>
      </c>
      <c r="H39" s="241">
        <f>G39/G64</f>
        <v>0</v>
      </c>
      <c r="I39" s="243">
        <f t="shared" si="1"/>
        <v>0</v>
      </c>
    </row>
    <row r="40" spans="1:9" s="226" customFormat="1">
      <c r="A40" s="30" t="s">
        <v>273</v>
      </c>
      <c r="B40" s="245">
        <v>0</v>
      </c>
      <c r="C40" s="245">
        <v>0</v>
      </c>
      <c r="D40" s="239">
        <f t="shared" si="0"/>
        <v>0</v>
      </c>
      <c r="E40" s="246">
        <v>0</v>
      </c>
      <c r="F40" s="241">
        <f>E40/E64</f>
        <v>0</v>
      </c>
      <c r="G40" s="246">
        <v>0</v>
      </c>
      <c r="H40" s="241">
        <f>G40/G64</f>
        <v>0</v>
      </c>
      <c r="I40" s="243">
        <f t="shared" si="1"/>
        <v>0</v>
      </c>
    </row>
    <row r="41" spans="1:9" s="226" customFormat="1">
      <c r="A41" s="30"/>
      <c r="B41" s="34"/>
      <c r="C41" s="35"/>
      <c r="D41" s="239"/>
      <c r="E41" s="247"/>
      <c r="F41" s="248"/>
      <c r="G41" s="247"/>
      <c r="H41" s="248"/>
      <c r="I41" s="243"/>
    </row>
    <row r="42" spans="1:9" s="226" customFormat="1">
      <c r="A42" s="252" t="s">
        <v>20</v>
      </c>
      <c r="B42" s="250">
        <f>SUM(B43:B46)</f>
        <v>873</v>
      </c>
      <c r="C42" s="250">
        <f>SUM(C43:C46)</f>
        <v>1695565</v>
      </c>
      <c r="D42" s="239">
        <f t="shared" si="0"/>
        <v>1942.2279495990836</v>
      </c>
      <c r="E42" s="250">
        <f>SUM(E43:E46)</f>
        <v>7508</v>
      </c>
      <c r="F42" s="241">
        <f>E42/E64</f>
        <v>2.3687830487512461E-2</v>
      </c>
      <c r="G42" s="250">
        <f>SUM(G43:G46)</f>
        <v>13515845</v>
      </c>
      <c r="H42" s="241">
        <f>G42/G64</f>
        <v>2.6180382907870888E-2</v>
      </c>
      <c r="I42" s="243">
        <f t="shared" si="1"/>
        <v>1800.1924613745339</v>
      </c>
    </row>
    <row r="43" spans="1:9" s="226" customFormat="1">
      <c r="A43" s="244" t="s">
        <v>184</v>
      </c>
      <c r="B43" s="245">
        <f>VLOOKUP(A43,[13]進出口值表查詢結果!$A$2:$C$41,3,0)</f>
        <v>487</v>
      </c>
      <c r="C43" s="245">
        <f>VLOOKUP(A43,[13]進出口值表查詢結果!$A$2:$C$41,2,0)</f>
        <v>1115144</v>
      </c>
      <c r="D43" s="239">
        <f t="shared" si="0"/>
        <v>2289.8234086242301</v>
      </c>
      <c r="E43" s="246">
        <f>VLOOKUP(A43,[14]進出口值表查詢結果!$A$2:$C$48,3,0)</f>
        <v>4900</v>
      </c>
      <c r="F43" s="241">
        <f>E43/E64</f>
        <v>1.5459559055515592E-2</v>
      </c>
      <c r="G43" s="246">
        <f>VLOOKUP(A43,[14]進出口值表查詢結果!$A$2:$C$48,2,0)</f>
        <v>9101806</v>
      </c>
      <c r="H43" s="241">
        <f>G43/G64</f>
        <v>1.7630326940946475E-2</v>
      </c>
      <c r="I43" s="243">
        <f t="shared" si="1"/>
        <v>1857.5114285714285</v>
      </c>
    </row>
    <row r="44" spans="1:9" s="226" customFormat="1">
      <c r="A44" s="244" t="s">
        <v>275</v>
      </c>
      <c r="B44" s="245">
        <f>VLOOKUP(A44,[13]進出口值表查詢結果!$A$2:$C$41,3,0)</f>
        <v>386</v>
      </c>
      <c r="C44" s="245">
        <f>VLOOKUP(A44,[13]進出口值表查詢結果!$A$2:$C$41,2,0)</f>
        <v>580421</v>
      </c>
      <c r="D44" s="239">
        <f t="shared" si="0"/>
        <v>1503.6813471502592</v>
      </c>
      <c r="E44" s="246">
        <f>VLOOKUP(A44,[14]進出口值表查詢結果!$A$2:$C$48,3,0)</f>
        <v>2576</v>
      </c>
      <c r="F44" s="241">
        <f>E44/E64</f>
        <v>8.1273110463281964E-3</v>
      </c>
      <c r="G44" s="246">
        <f>VLOOKUP(A44,[14]進出口值表查詢結果!$A$2:$C$48,2,0)</f>
        <v>4353751</v>
      </c>
      <c r="H44" s="241">
        <f>G44/G64</f>
        <v>8.4332772583235304E-3</v>
      </c>
      <c r="I44" s="243">
        <f t="shared" si="1"/>
        <v>1690.1207298136646</v>
      </c>
    </row>
    <row r="45" spans="1:9" s="226" customFormat="1">
      <c r="A45" s="244" t="s">
        <v>276</v>
      </c>
      <c r="B45" s="245">
        <v>0</v>
      </c>
      <c r="C45" s="245">
        <v>0</v>
      </c>
      <c r="D45" s="239">
        <f t="shared" si="0"/>
        <v>0</v>
      </c>
      <c r="E45" s="246">
        <f>VLOOKUP(A45,[14]進出口值表查詢結果!$A$2:$C$48,3,0)</f>
        <v>32</v>
      </c>
      <c r="F45" s="241">
        <f>E45/E64</f>
        <v>1.0096038566867325E-4</v>
      </c>
      <c r="G45" s="246">
        <f>VLOOKUP(A45,[14]進出口值表查詢結果!$A$2:$C$48,2,0)</f>
        <v>60288</v>
      </c>
      <c r="H45" s="241">
        <f>G45/G64</f>
        <v>1.1677870860088438E-4</v>
      </c>
      <c r="I45" s="243">
        <f t="shared" si="1"/>
        <v>1884</v>
      </c>
    </row>
    <row r="46" spans="1:9" s="226" customFormat="1">
      <c r="A46" s="37" t="s">
        <v>21</v>
      </c>
      <c r="B46" s="245">
        <v>0</v>
      </c>
      <c r="C46" s="245">
        <v>0</v>
      </c>
      <c r="D46" s="239">
        <f t="shared" si="0"/>
        <v>0</v>
      </c>
      <c r="E46" s="246">
        <v>0</v>
      </c>
      <c r="F46" s="241">
        <f>E46/E64</f>
        <v>0</v>
      </c>
      <c r="G46" s="246">
        <v>0</v>
      </c>
      <c r="H46" s="241">
        <f>G46/G64</f>
        <v>0</v>
      </c>
      <c r="I46" s="243">
        <f t="shared" si="1"/>
        <v>0</v>
      </c>
    </row>
    <row r="47" spans="1:9" s="226" customFormat="1">
      <c r="A47" s="37"/>
      <c r="B47" s="245"/>
      <c r="C47" s="35"/>
      <c r="D47" s="239"/>
      <c r="E47" s="247"/>
      <c r="F47" s="248"/>
      <c r="G47" s="247"/>
      <c r="H47" s="248"/>
      <c r="I47" s="243"/>
    </row>
    <row r="48" spans="1:9" s="226" customFormat="1">
      <c r="A48" s="252" t="s">
        <v>22</v>
      </c>
      <c r="B48" s="250">
        <f>SUM(B49:B62)</f>
        <v>10579</v>
      </c>
      <c r="C48" s="250">
        <f>SUM(C49:C62)</f>
        <v>17973423</v>
      </c>
      <c r="D48" s="239">
        <f t="shared" si="0"/>
        <v>1698.9718309859154</v>
      </c>
      <c r="E48" s="250">
        <f>SUM(E49:E62)</f>
        <v>39783</v>
      </c>
      <c r="F48" s="241">
        <f>E48/E64</f>
        <v>0.12551584447052588</v>
      </c>
      <c r="G48" s="250">
        <f>SUM(G49:G62)</f>
        <v>66225549</v>
      </c>
      <c r="H48" s="241">
        <f>G48/G64</f>
        <v>0.12827982498348908</v>
      </c>
      <c r="I48" s="243">
        <f t="shared" si="1"/>
        <v>1664.6695573486163</v>
      </c>
    </row>
    <row r="49" spans="1:9" s="226" customFormat="1">
      <c r="A49" s="252" t="s">
        <v>163</v>
      </c>
      <c r="B49" s="245">
        <f>VLOOKUP(A49,[13]進出口值表查詢結果!$A$2:$C$41,3,0)</f>
        <v>5710</v>
      </c>
      <c r="C49" s="245">
        <f>VLOOKUP(A49,[13]進出口值表查詢結果!$A$2:$C$41,2,0)</f>
        <v>7343628</v>
      </c>
      <c r="D49" s="239">
        <f t="shared" si="0"/>
        <v>1286.0994746059544</v>
      </c>
      <c r="E49" s="246">
        <f>VLOOKUP(A49,[14]進出口值表查詢結果!$A$2:$C$48,3,0)</f>
        <v>21178</v>
      </c>
      <c r="F49" s="241">
        <f>E49/E64</f>
        <v>6.6816845240348824E-2</v>
      </c>
      <c r="G49" s="246">
        <f>VLOOKUP(A49,[14]進出口值表查詢結果!$A$2:$C$48,2,0)</f>
        <v>28766515</v>
      </c>
      <c r="H49" s="241">
        <f>G49/G64</f>
        <v>5.5721146374866797E-2</v>
      </c>
      <c r="I49" s="243">
        <f t="shared" si="1"/>
        <v>1358.3206629521201</v>
      </c>
    </row>
    <row r="50" spans="1:9" s="226" customFormat="1">
      <c r="A50" s="244" t="s">
        <v>386</v>
      </c>
      <c r="B50" s="245">
        <f>VLOOKUP(A50,[13]進出口值表查詢結果!$A$2:$C$41,3,0)</f>
        <v>1344</v>
      </c>
      <c r="C50" s="245">
        <f>VLOOKUP(A50,[13]進出口值表查詢結果!$A$2:$C$41,2,0)</f>
        <v>1955124</v>
      </c>
      <c r="D50" s="239">
        <f t="shared" si="0"/>
        <v>1454.7053571428571</v>
      </c>
      <c r="E50" s="246">
        <f>VLOOKUP(A50,[14]進出口值表查詢結果!$A$2:$C$48,3,0)</f>
        <v>4421</v>
      </c>
      <c r="F50" s="241">
        <f>E50/E64</f>
        <v>1.3948308282537639E-2</v>
      </c>
      <c r="G50" s="246">
        <f>VLOOKUP(A50,[14]進出口值表查詢結果!$A$2:$C$48,2,0)</f>
        <v>5305620</v>
      </c>
      <c r="H50" s="241">
        <f>G50/G64</f>
        <v>1.0277060972781055E-2</v>
      </c>
      <c r="I50" s="243">
        <f t="shared" si="1"/>
        <v>1200.0950011309658</v>
      </c>
    </row>
    <row r="51" spans="1:9" s="226" customFormat="1">
      <c r="A51" s="244" t="s">
        <v>455</v>
      </c>
      <c r="B51" s="245">
        <f>VLOOKUP(A51,[13]進出口值表查詢結果!$A$2:$C$41,3,0)</f>
        <v>6</v>
      </c>
      <c r="C51" s="245">
        <f>VLOOKUP(A51,[13]進出口值表查詢結果!$A$2:$C$41,2,0)</f>
        <v>14849</v>
      </c>
      <c r="D51" s="239">
        <f t="shared" si="0"/>
        <v>2474.8333333333335</v>
      </c>
      <c r="E51" s="246">
        <f>VLOOKUP(A51,[14]進出口值表查詢結果!$A$2:$C$48,3,0)</f>
        <v>38</v>
      </c>
      <c r="F51" s="241">
        <f>E51/E64</f>
        <v>1.1989045798154949E-4</v>
      </c>
      <c r="G51" s="246">
        <f>VLOOKUP(A51,[14]進出口值表查詢結果!$A$2:$C$48,2,0)</f>
        <v>102252</v>
      </c>
      <c r="H51" s="241">
        <f>G51/G64</f>
        <v>1.9806357006133275E-4</v>
      </c>
      <c r="I51" s="243">
        <f t="shared" si="1"/>
        <v>2690.8421052631579</v>
      </c>
    </row>
    <row r="52" spans="1:9" s="226" customFormat="1">
      <c r="A52" s="244" t="s">
        <v>299</v>
      </c>
      <c r="B52" s="245">
        <f>VLOOKUP(A52,[13]進出口值表查詢結果!$A$2:$C$41,3,0)</f>
        <v>261</v>
      </c>
      <c r="C52" s="245">
        <f>VLOOKUP(A52,[13]進出口值表查詢結果!$A$2:$C$41,2,0)</f>
        <v>722405</v>
      </c>
      <c r="D52" s="239">
        <f t="shared" si="0"/>
        <v>2767.8352490421457</v>
      </c>
      <c r="E52" s="246">
        <f>VLOOKUP(A52,[14]進出口值表查詢結果!$A$2:$C$48,3,0)</f>
        <v>419</v>
      </c>
      <c r="F52" s="241">
        <f>E52/E64</f>
        <v>1.3219500498491904E-3</v>
      </c>
      <c r="G52" s="246">
        <f>VLOOKUP(A52,[14]進出口值表查詢結果!$A$2:$C$48,2,0)</f>
        <v>1095437</v>
      </c>
      <c r="H52" s="241">
        <f>G52/G64</f>
        <v>2.1218769608152034E-3</v>
      </c>
      <c r="I52" s="243">
        <f t="shared" si="1"/>
        <v>2614.4081145584723</v>
      </c>
    </row>
    <row r="53" spans="1:9" s="226" customFormat="1">
      <c r="A53" s="37" t="s">
        <v>23</v>
      </c>
      <c r="B53" s="245">
        <f>VLOOKUP(A53,[13]進出口值表查詢結果!$A$2:$C$41,3,0)</f>
        <v>4</v>
      </c>
      <c r="C53" s="245">
        <f>VLOOKUP(A53,[13]進出口值表查詢結果!$A$2:$C$41,2,0)</f>
        <v>12812</v>
      </c>
      <c r="D53" s="239">
        <f t="shared" si="0"/>
        <v>3203</v>
      </c>
      <c r="E53" s="246">
        <f>VLOOKUP(A53,[14]進出口值表查詢結果!$A$2:$C$48,3,0)</f>
        <v>4</v>
      </c>
      <c r="F53" s="241">
        <f>E53/E64</f>
        <v>1.2620048208584156E-5</v>
      </c>
      <c r="G53" s="246">
        <f>VLOOKUP(A53,[14]進出口值表查詢結果!$A$2:$C$48,2,0)</f>
        <v>12812</v>
      </c>
      <c r="H53" s="241">
        <f>G53/G64</f>
        <v>2.4817025189001638E-5</v>
      </c>
      <c r="I53" s="243">
        <f t="shared" si="1"/>
        <v>3203</v>
      </c>
    </row>
    <row r="54" spans="1:9" s="226" customFormat="1">
      <c r="A54" s="244" t="s">
        <v>305</v>
      </c>
      <c r="B54" s="245">
        <v>0</v>
      </c>
      <c r="C54" s="245">
        <v>0</v>
      </c>
      <c r="D54" s="239">
        <f t="shared" si="0"/>
        <v>0</v>
      </c>
      <c r="E54" s="246">
        <f>VLOOKUP(A54,[14]進出口值表查詢結果!$A$2:$C$48,3,0)</f>
        <v>601</v>
      </c>
      <c r="F54" s="241">
        <f>E54/E64</f>
        <v>1.8961622433397696E-3</v>
      </c>
      <c r="G54" s="246">
        <f>VLOOKUP(A54,[14]進出口值表查詢結果!$A$2:$C$48,2,0)</f>
        <v>1527059</v>
      </c>
      <c r="H54" s="241">
        <f>G54/G64</f>
        <v>2.957934878870719E-3</v>
      </c>
      <c r="I54" s="243">
        <f t="shared" si="1"/>
        <v>2540.863560732113</v>
      </c>
    </row>
    <row r="55" spans="1:9" s="226" customFormat="1">
      <c r="A55" s="26" t="s">
        <v>387</v>
      </c>
      <c r="B55" s="245">
        <f>VLOOKUP(A55,[13]進出口值表查詢結果!$A$2:$C$41,3,0)</f>
        <v>1575</v>
      </c>
      <c r="C55" s="245">
        <f>VLOOKUP(A55,[13]進出口值表查詢結果!$A$2:$C$41,2,0)</f>
        <v>3346681</v>
      </c>
      <c r="D55" s="239">
        <f t="shared" si="0"/>
        <v>2124.8768253968256</v>
      </c>
      <c r="E55" s="246">
        <f>VLOOKUP(A55,[14]進出口值表查詢結果!$A$2:$C$48,3,0)</f>
        <v>5795</v>
      </c>
      <c r="F55" s="241">
        <f>E55/E64</f>
        <v>1.8283294842186298E-2</v>
      </c>
      <c r="G55" s="246">
        <f>VLOOKUP(A55,[14]進出口值表查詢結果!$A$2:$C$48,2,0)</f>
        <v>12277030</v>
      </c>
      <c r="H55" s="241">
        <f>G55/G64</f>
        <v>2.378078073338501E-2</v>
      </c>
      <c r="I55" s="243">
        <f t="shared" si="1"/>
        <v>2118.5556514236409</v>
      </c>
    </row>
    <row r="56" spans="1:9" s="226" customFormat="1">
      <c r="A56" s="37" t="s">
        <v>24</v>
      </c>
      <c r="B56" s="245">
        <f>VLOOKUP(A56,[13]進出口值表查詢結果!$A$2:$C$41,3,0)</f>
        <v>17</v>
      </c>
      <c r="C56" s="245">
        <f>VLOOKUP(A56,[13]進出口值表查詢結果!$A$2:$C$41,2,0)</f>
        <v>82917</v>
      </c>
      <c r="D56" s="239">
        <f t="shared" si="0"/>
        <v>4877.4705882352937</v>
      </c>
      <c r="E56" s="246">
        <f>VLOOKUP(A56,[14]進出口值表查詢結果!$A$2:$C$48,3,0)</f>
        <v>76</v>
      </c>
      <c r="F56" s="241">
        <f>E56/E64</f>
        <v>2.3978091596309897E-4</v>
      </c>
      <c r="G56" s="246">
        <f>VLOOKUP(A56,[14]進出口值表查詢結果!$A$2:$C$48,2,0)</f>
        <v>219126</v>
      </c>
      <c r="H56" s="241">
        <f>G56/G64</f>
        <v>4.2445016090892701E-4</v>
      </c>
      <c r="I56" s="243">
        <f t="shared" si="1"/>
        <v>2883.2368421052633</v>
      </c>
    </row>
    <row r="57" spans="1:9" s="226" customFormat="1">
      <c r="A57" s="37" t="s">
        <v>241</v>
      </c>
      <c r="B57" s="245">
        <f>VLOOKUP(A57,[13]進出口值表查詢結果!$A$2:$C$41,3,0)</f>
        <v>61</v>
      </c>
      <c r="C57" s="245">
        <f>VLOOKUP(A57,[13]進出口值表查詢結果!$A$2:$C$41,2,0)</f>
        <v>79993</v>
      </c>
      <c r="D57" s="239">
        <f t="shared" si="0"/>
        <v>1311.360655737705</v>
      </c>
      <c r="E57" s="246">
        <f>VLOOKUP(A57,[14]進出口值表查詢結果!$A$2:$C$48,3,0)</f>
        <v>178</v>
      </c>
      <c r="F57" s="241">
        <f>E57/E64</f>
        <v>5.6159214528199496E-4</v>
      </c>
      <c r="G57" s="246">
        <f>VLOOKUP(A57,[14]進出口值表查詢結果!$A$2:$C$48,2,0)</f>
        <v>246489</v>
      </c>
      <c r="H57" s="241">
        <f>G57/G64</f>
        <v>4.7745267888009868E-4</v>
      </c>
      <c r="I57" s="243">
        <f t="shared" si="1"/>
        <v>1384.7696629213483</v>
      </c>
    </row>
    <row r="58" spans="1:9" s="226" customFormat="1">
      <c r="A58" s="37" t="s">
        <v>460</v>
      </c>
      <c r="B58" s="245">
        <f>VLOOKUP(A58,[13]進出口值表查詢結果!$A$2:$C$41,3,0)</f>
        <v>122</v>
      </c>
      <c r="C58" s="245">
        <f>VLOOKUP(A58,[13]進出口值表查詢結果!$A$2:$C$41,2,0)</f>
        <v>472668</v>
      </c>
      <c r="D58" s="239">
        <f t="shared" si="0"/>
        <v>3874.3278688524592</v>
      </c>
      <c r="E58" s="246">
        <f>VLOOKUP(A58,[14]進出口值表查詢結果!$A$2:$C$48,3,0)</f>
        <v>1057</v>
      </c>
      <c r="F58" s="241">
        <f>E58/E64</f>
        <v>3.3348477391183635E-3</v>
      </c>
      <c r="G58" s="246">
        <f>VLOOKUP(A58,[14]進出口值表查詢結果!$A$2:$C$48,2,0)</f>
        <v>2551770</v>
      </c>
      <c r="H58" s="241">
        <f>G58/G64</f>
        <v>4.9428145774694588E-3</v>
      </c>
      <c r="I58" s="243">
        <f t="shared" si="1"/>
        <v>2414.1627246925259</v>
      </c>
    </row>
    <row r="59" spans="1:9" s="226" customFormat="1">
      <c r="A59" s="37" t="s">
        <v>279</v>
      </c>
      <c r="B59" s="245">
        <v>0</v>
      </c>
      <c r="C59" s="245">
        <v>0</v>
      </c>
      <c r="D59" s="239">
        <f t="shared" si="0"/>
        <v>0</v>
      </c>
      <c r="E59" s="246">
        <v>0</v>
      </c>
      <c r="F59" s="241">
        <f>E59/E64</f>
        <v>0</v>
      </c>
      <c r="G59" s="246">
        <v>0</v>
      </c>
      <c r="H59" s="241">
        <f>G59/G64</f>
        <v>0</v>
      </c>
      <c r="I59" s="243">
        <f t="shared" si="1"/>
        <v>0</v>
      </c>
    </row>
    <row r="60" spans="1:9" s="226" customFormat="1">
      <c r="A60" s="37" t="s">
        <v>284</v>
      </c>
      <c r="B60" s="245">
        <v>0</v>
      </c>
      <c r="C60" s="245">
        <v>0</v>
      </c>
      <c r="D60" s="239">
        <f t="shared" si="0"/>
        <v>0</v>
      </c>
      <c r="E60" s="246">
        <v>0</v>
      </c>
      <c r="F60" s="241">
        <f>E60/E64</f>
        <v>0</v>
      </c>
      <c r="G60" s="246">
        <v>0</v>
      </c>
      <c r="H60" s="241">
        <f>G60/G64</f>
        <v>0</v>
      </c>
      <c r="I60" s="243">
        <f t="shared" si="1"/>
        <v>0</v>
      </c>
    </row>
    <row r="61" spans="1:9" s="226" customFormat="1">
      <c r="A61" s="37" t="s">
        <v>290</v>
      </c>
      <c r="B61" s="245">
        <f>VLOOKUP(A61,[13]進出口值表查詢結果!$A$2:$C$41,3,0)</f>
        <v>1231</v>
      </c>
      <c r="C61" s="245">
        <f>VLOOKUP(A61,[13]進出口值表查詢結果!$A$2:$C$41,2,0)</f>
        <v>3239948</v>
      </c>
      <c r="D61" s="239">
        <f t="shared" si="0"/>
        <v>2631.9642567018682</v>
      </c>
      <c r="E61" s="246">
        <f>VLOOKUP(A61,[14]進出口值表查詢結果!$A$2:$C$48,3,0)</f>
        <v>4910</v>
      </c>
      <c r="F61" s="241">
        <f>E61/E64</f>
        <v>1.5491109176037052E-2</v>
      </c>
      <c r="G61" s="246">
        <f>VLOOKUP(A61,[14]進出口值表查詢結果!$A$2:$C$48,2,0)</f>
        <v>11220827</v>
      </c>
      <c r="H61" s="241">
        <f>G61/G64</f>
        <v>2.1734900585422233E-2</v>
      </c>
      <c r="I61" s="243">
        <f t="shared" si="1"/>
        <v>2285.3008146639513</v>
      </c>
    </row>
    <row r="62" spans="1:9" s="226" customFormat="1">
      <c r="A62" s="37" t="s">
        <v>338</v>
      </c>
      <c r="B62" s="245">
        <f>VLOOKUP(A62,[13]進出口值表查詢結果!$A$2:$C$41,3,0)</f>
        <v>248</v>
      </c>
      <c r="C62" s="245">
        <f>VLOOKUP(A62,[13]進出口值表查詢結果!$A$2:$C$41,2,0)</f>
        <v>702398</v>
      </c>
      <c r="D62" s="239">
        <f t="shared" si="0"/>
        <v>2832.25</v>
      </c>
      <c r="E62" s="246">
        <f>VLOOKUP(A62,[14]進出口值表查詢結果!$A$2:$C$48,3,0)</f>
        <v>1106</v>
      </c>
      <c r="F62" s="241">
        <f>E62/E64</f>
        <v>3.4894433296735194E-3</v>
      </c>
      <c r="G62" s="246">
        <f>VLOOKUP(A62,[14]進出口值表查詢結果!$A$2:$C$48,2,0)</f>
        <v>2900612</v>
      </c>
      <c r="H62" s="241">
        <f>G62/G64</f>
        <v>5.6185264648392456E-3</v>
      </c>
      <c r="I62" s="243">
        <f t="shared" si="1"/>
        <v>2622.6148282097647</v>
      </c>
    </row>
    <row r="63" spans="1:9" s="226" customFormat="1">
      <c r="A63" s="37" t="s">
        <v>30</v>
      </c>
      <c r="B63" s="34">
        <f>B64-B48-B42-B13-B8</f>
        <v>278</v>
      </c>
      <c r="C63" s="34">
        <f>C64-C48-C42-C13-C8</f>
        <v>822537</v>
      </c>
      <c r="D63" s="239">
        <f t="shared" si="0"/>
        <v>2958.7661870503598</v>
      </c>
      <c r="E63" s="247">
        <f>E64-E48-E42-E13-E8</f>
        <v>1125</v>
      </c>
      <c r="F63" s="248">
        <f>E63/$E$64</f>
        <v>3.5493885586642942E-3</v>
      </c>
      <c r="G63" s="247">
        <f>G64-G48-G42-G13-G8</f>
        <v>3034997</v>
      </c>
      <c r="H63" s="248">
        <f>G63/$G$64</f>
        <v>5.8788321103297224E-3</v>
      </c>
      <c r="I63" s="243">
        <f t="shared" si="1"/>
        <v>2697.7751111111111</v>
      </c>
    </row>
    <row r="64" spans="1:9" s="226" customFormat="1">
      <c r="A64" s="249" t="s">
        <v>402</v>
      </c>
      <c r="B64" s="245">
        <f>VLOOKUP(A64,[13]進出口值表查詢結果!$A$2:$C$41,3,0)</f>
        <v>78722</v>
      </c>
      <c r="C64" s="245">
        <f>VLOOKUP(A64,[13]進出口值表查詢結果!$A$2:$C$41,2,0)</f>
        <v>135497637</v>
      </c>
      <c r="D64" s="522">
        <f t="shared" ref="D64" si="2">C64/B64</f>
        <v>1721.2169025177207</v>
      </c>
      <c r="E64" s="246">
        <f>VLOOKUP(A64,[14]進出口值表查詢結果!$A$2:$C$48,3,0)</f>
        <v>316956</v>
      </c>
      <c r="F64" s="523">
        <f>E64/$E$64</f>
        <v>1</v>
      </c>
      <c r="G64" s="246">
        <f>VLOOKUP(A64,[14]進出口值表查詢結果!$A$2:$C$48,2,0)</f>
        <v>516258492</v>
      </c>
      <c r="H64" s="241">
        <f>G64/$G$64</f>
        <v>1</v>
      </c>
      <c r="I64" s="243">
        <f t="shared" si="1"/>
        <v>1628.8017642827397</v>
      </c>
    </row>
    <row r="65" spans="1:9" s="226" customFormat="1" ht="10.5" customHeight="1">
      <c r="A65" s="255"/>
      <c r="B65" s="256"/>
      <c r="C65" s="257"/>
      <c r="D65" s="258"/>
      <c r="E65" s="259"/>
      <c r="F65" s="260"/>
      <c r="G65" s="257"/>
      <c r="H65" s="260"/>
      <c r="I65" s="261"/>
    </row>
    <row r="66" spans="1:9" s="226" customFormat="1" ht="15" customHeight="1">
      <c r="A66" s="262" t="s">
        <v>120</v>
      </c>
      <c r="B66" s="263"/>
      <c r="C66" s="263"/>
      <c r="D66" s="263"/>
    </row>
    <row r="67" spans="1:9" s="226" customFormat="1">
      <c r="A67" s="5"/>
      <c r="B67" s="5"/>
      <c r="C67" s="5"/>
      <c r="D67" s="5"/>
      <c r="E67" s="5"/>
      <c r="F67" s="5"/>
      <c r="G67" s="5"/>
      <c r="H67" s="5"/>
      <c r="I67" s="5"/>
    </row>
  </sheetData>
  <phoneticPr fontId="3" type="noConversion"/>
  <pageMargins left="0.51181102362204722" right="0.51181102362204722" top="0.35433070866141736" bottom="0.35433070866141736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15</vt:i4>
      </vt:variant>
      <vt:variant>
        <vt:lpstr>具名範圍</vt:lpstr>
      </vt:variant>
      <vt:variant>
        <vt:i4>3</vt:i4>
      </vt:variant>
    </vt:vector>
  </HeadingPairs>
  <TitlesOfParts>
    <vt:vector size="18" baseType="lpstr">
      <vt:lpstr>整車</vt:lpstr>
      <vt:lpstr>整車同期比較</vt:lpstr>
      <vt:lpstr>整車出口全球總表更新至8月(記得隱藏)</vt:lpstr>
      <vt:lpstr>整車比較</vt:lpstr>
      <vt:lpstr>出口地區</vt:lpstr>
      <vt:lpstr>整車進口</vt:lpstr>
      <vt:lpstr>折疊車</vt:lpstr>
      <vt:lpstr>折疊車比較</vt:lpstr>
      <vt:lpstr>電輔車</vt:lpstr>
      <vt:lpstr>電輔車比較</vt:lpstr>
      <vt:lpstr>電動折疊同期比較 </vt:lpstr>
      <vt:lpstr>零件</vt:lpstr>
      <vt:lpstr>零件出口比較</vt:lpstr>
      <vt:lpstr>零件進口比較</vt:lpstr>
      <vt:lpstr>零件出進口國別 </vt:lpstr>
      <vt:lpstr>出口地區!Print_Area</vt:lpstr>
      <vt:lpstr>'電動折疊同期比較 '!Print_Area</vt:lpstr>
      <vt:lpstr>整車同期比較!Print_Area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</dc:creator>
  <cp:lastModifiedBy>Yu-mei</cp:lastModifiedBy>
  <cp:lastPrinted>2021-03-02T01:57:04Z</cp:lastPrinted>
  <dcterms:created xsi:type="dcterms:W3CDTF">2018-05-28T02:49:39Z</dcterms:created>
  <dcterms:modified xsi:type="dcterms:W3CDTF">2023-06-21T01:22:55Z</dcterms:modified>
</cp:coreProperties>
</file>